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oji.kume\Desktop\Work Projects\STOP\STOP Publication\Steffanic\"/>
    </mc:Choice>
  </mc:AlternateContent>
  <xr:revisionPtr revIDLastSave="0" documentId="13_ncr:1_{EB6782F6-02F5-48E3-A698-97A95E725697}" xr6:coauthVersionLast="44" xr6:coauthVersionMax="44" xr10:uidLastSave="{00000000-0000-0000-0000-000000000000}"/>
  <bookViews>
    <workbookView xWindow="-120" yWindow="-120" windowWidth="25440" windowHeight="15390" xr2:uid="{00000000-000D-0000-FFFF-FFFF00000000}"/>
  </bookViews>
  <sheets>
    <sheet name="SummaryStats" sheetId="1" r:id="rId1"/>
    <sheet name="Class 1" sheetId="8" r:id="rId2"/>
    <sheet name="Class 2" sheetId="9" r:id="rId3"/>
    <sheet name="Class 3" sheetId="10" r:id="rId4"/>
    <sheet name="Class 3+" sheetId="11" r:id="rId5"/>
    <sheet name="Class 4" sheetId="12" r:id="rId6"/>
    <sheet name="Class 4+" sheetId="13" r:id="rId7"/>
    <sheet name="Class 5" sheetId="14" r:id="rId8"/>
    <sheet name="Class 6" sheetId="15" r:id="rId9"/>
    <sheet name="Class 7" sheetId="16" r:id="rId10"/>
  </sheets>
  <externalReferences>
    <externalReference r:id="rId11"/>
    <externalReference r:id="rId12"/>
    <externalReference r:id="rId13"/>
  </externalReferences>
  <definedNames>
    <definedName name="_2" hidden="1">'[1]Fd. 0001-PY GAAP adj.'!#REF!</definedName>
    <definedName name="_a" hidden="1">'[2]Fd. 0001-PY GAAP adj.'!#REF!</definedName>
    <definedName name="_Key1" hidden="1">'[3]Fd. 0001-PY GAAP adj.'!#REF!</definedName>
    <definedName name="_Key2" hidden="1">'[3]Fd. 0001-PY GAAP adj.'!#REF!</definedName>
    <definedName name="_Order1" hidden="1">255</definedName>
    <definedName name="_Order2" hidden="1">255</definedName>
    <definedName name="_Sort" hidden="1">'[3]Fd. 0001-PY GAAP adj.'!#REF!</definedName>
    <definedName name="_xlnm.Print_Area" localSheetId="1">'Class 1'!$A$1:$N$144</definedName>
    <definedName name="_xlnm.Print_Area" localSheetId="2">'Class 2'!$A$1:$K$144</definedName>
    <definedName name="_xlnm.Print_Area" localSheetId="3">'Class 3'!$A$1:$P$144</definedName>
    <definedName name="_xlnm.Print_Area" localSheetId="4">'Class 3+'!$A$1:$P$144</definedName>
    <definedName name="_xlnm.Print_Area" localSheetId="5">'Class 4'!$A$1:$J$144</definedName>
    <definedName name="_xlnm.Print_Area" localSheetId="6">'Class 4+'!$A$1:$H$144</definedName>
    <definedName name="_xlnm.Print_Area" localSheetId="7">'Class 5'!$A$1:$F$144</definedName>
    <definedName name="_xlnm.Print_Area" localSheetId="8">'Class 6'!$A$1:$G$144</definedName>
    <definedName name="_xlnm.Print_Area" localSheetId="9">'Class 7'!$A$1:$G$144</definedName>
    <definedName name="_xlnm.Print_Area" localSheetId="0">SummaryStats!$A$1:$K$33</definedName>
    <definedName name="_xlnm.Print_Titles" localSheetId="1">'Class 1'!$A:$B</definedName>
    <definedName name="_xlnm.Print_Titles" localSheetId="2">'Class 2'!$A:$B</definedName>
    <definedName name="_xlnm.Print_Titles" localSheetId="3">'Class 3'!$A:$B</definedName>
    <definedName name="_xlnm.Print_Titles" localSheetId="4">'Class 3+'!$A:$B</definedName>
    <definedName name="_xlnm.Print_Titles" localSheetId="5">'Class 4'!$A:$B</definedName>
    <definedName name="_xlnm.Print_Titles" localSheetId="6">'Class 4+'!$A:$B</definedName>
    <definedName name="_xlnm.Print_Titles" localSheetId="7">'Class 5'!$A:$B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3" i="9" l="1"/>
  <c r="J95" i="9" s="1"/>
  <c r="J97" i="9" s="1"/>
  <c r="J126" i="9"/>
  <c r="J124" i="9"/>
  <c r="J116" i="9"/>
  <c r="J115" i="9"/>
  <c r="J114" i="9"/>
  <c r="J113" i="9"/>
  <c r="J108" i="9"/>
  <c r="J110" i="9" s="1"/>
  <c r="J64" i="9"/>
  <c r="J51" i="9"/>
  <c r="J65" i="9" s="1"/>
  <c r="J31" i="9"/>
  <c r="J9" i="9"/>
  <c r="J118" i="9" l="1"/>
  <c r="J131" i="9" s="1"/>
  <c r="J66" i="9"/>
  <c r="J129" i="9"/>
  <c r="J119" i="9"/>
  <c r="J120" i="9" s="1"/>
  <c r="J55" i="9"/>
  <c r="J122" i="9" s="1"/>
  <c r="J56" i="9"/>
  <c r="J57" i="9"/>
  <c r="J58" i="9"/>
  <c r="J67" i="9" s="1"/>
  <c r="P112" i="11"/>
  <c r="P93" i="11"/>
  <c r="P50" i="11"/>
  <c r="P35" i="11"/>
  <c r="P34" i="11"/>
  <c r="P33" i="11"/>
  <c r="J133" i="9" l="1"/>
  <c r="P51" i="11"/>
  <c r="P126" i="11" l="1"/>
  <c r="P124" i="11"/>
  <c r="P116" i="11"/>
  <c r="P115" i="11"/>
  <c r="P114" i="11"/>
  <c r="P113" i="11"/>
  <c r="P108" i="11"/>
  <c r="P110" i="11" s="1"/>
  <c r="P95" i="11"/>
  <c r="P97" i="11" s="1"/>
  <c r="P78" i="11"/>
  <c r="P64" i="11"/>
  <c r="P65" i="11"/>
  <c r="P31" i="11"/>
  <c r="P9" i="11"/>
  <c r="P118" i="11" l="1"/>
  <c r="P131" i="11" s="1"/>
  <c r="P57" i="11"/>
  <c r="P58" i="11"/>
  <c r="P67" i="11" s="1"/>
  <c r="P129" i="11"/>
  <c r="P119" i="11"/>
  <c r="P120" i="11" s="1"/>
  <c r="P66" i="11"/>
  <c r="P56" i="11"/>
  <c r="P55" i="11"/>
  <c r="P122" i="11" s="1"/>
  <c r="F93" i="10"/>
  <c r="P133" i="11" l="1"/>
  <c r="F126" i="10"/>
  <c r="F124" i="10"/>
  <c r="F116" i="10"/>
  <c r="F115" i="10"/>
  <c r="F114" i="10"/>
  <c r="F113" i="10"/>
  <c r="F108" i="10"/>
  <c r="F110" i="10" s="1"/>
  <c r="F95" i="10"/>
  <c r="F97" i="10" s="1"/>
  <c r="F64" i="10"/>
  <c r="F51" i="10"/>
  <c r="F65" i="10" s="1"/>
  <c r="F31" i="10"/>
  <c r="F58" i="10" s="1"/>
  <c r="F9" i="10"/>
  <c r="F57" i="10" l="1"/>
  <c r="F55" i="10"/>
  <c r="F122" i="10" s="1"/>
  <c r="F56" i="10"/>
  <c r="F118" i="10"/>
  <c r="F131" i="10" s="1"/>
  <c r="F67" i="10"/>
  <c r="F119" i="10"/>
  <c r="F120" i="10" s="1"/>
  <c r="F129" i="10"/>
  <c r="F66" i="10"/>
  <c r="O93" i="11"/>
  <c r="O95" i="11" s="1"/>
  <c r="O97" i="11" s="1"/>
  <c r="O126" i="11"/>
  <c r="O124" i="11"/>
  <c r="O116" i="11"/>
  <c r="O115" i="11"/>
  <c r="O114" i="11"/>
  <c r="O113" i="11"/>
  <c r="O118" i="11" s="1"/>
  <c r="O108" i="11"/>
  <c r="O110" i="11" s="1"/>
  <c r="O78" i="11"/>
  <c r="O64" i="11"/>
  <c r="O51" i="11"/>
  <c r="O65" i="11" s="1"/>
  <c r="O31" i="11"/>
  <c r="O9" i="11"/>
  <c r="F133" i="10" l="1"/>
  <c r="O131" i="11"/>
  <c r="O57" i="11"/>
  <c r="O58" i="11"/>
  <c r="O67" i="11" s="1"/>
  <c r="O66" i="11"/>
  <c r="O133" i="11"/>
  <c r="O129" i="11"/>
  <c r="O119" i="11"/>
  <c r="O120" i="11" s="1"/>
  <c r="O56" i="11"/>
  <c r="O55" i="11"/>
  <c r="O122" i="11" s="1"/>
  <c r="G67" i="10" l="1"/>
  <c r="G66" i="10"/>
  <c r="G78" i="10"/>
  <c r="G120" i="10" l="1"/>
  <c r="K93" i="9" l="1"/>
  <c r="K93" i="8" l="1"/>
  <c r="I8" i="16" l="1"/>
  <c r="I54" i="16" l="1"/>
  <c r="I54" i="15"/>
  <c r="H54" i="14"/>
  <c r="J54" i="13"/>
  <c r="L54" i="12"/>
  <c r="R54" i="11"/>
  <c r="R54" i="10"/>
  <c r="M54" i="9"/>
  <c r="M53" i="9"/>
  <c r="Q54" i="8"/>
  <c r="E126" i="14" l="1"/>
  <c r="E124" i="14"/>
  <c r="E116" i="14"/>
  <c r="E115" i="14"/>
  <c r="E114" i="14"/>
  <c r="E113" i="14"/>
  <c r="E64" i="14"/>
  <c r="E51" i="14"/>
  <c r="E65" i="14" s="1"/>
  <c r="E31" i="14"/>
  <c r="E9" i="14"/>
  <c r="D93" i="15"/>
  <c r="D84" i="15"/>
  <c r="D51" i="15"/>
  <c r="D31" i="15"/>
  <c r="L53" i="12" l="1"/>
  <c r="L34" i="12"/>
  <c r="L33" i="12"/>
  <c r="L8" i="12"/>
  <c r="L11" i="12"/>
  <c r="L12" i="12"/>
  <c r="L30" i="12"/>
  <c r="L29" i="12"/>
  <c r="L28" i="12"/>
  <c r="L112" i="12" l="1"/>
  <c r="L107" i="12"/>
  <c r="L106" i="12"/>
  <c r="L105" i="12"/>
  <c r="L104" i="12"/>
  <c r="L103" i="12"/>
  <c r="L102" i="12"/>
  <c r="L101" i="12"/>
  <c r="L99" i="12"/>
  <c r="L100" i="12"/>
  <c r="I109" i="16"/>
  <c r="I96" i="16"/>
  <c r="I109" i="15"/>
  <c r="I96" i="15"/>
  <c r="H109" i="14"/>
  <c r="H96" i="14"/>
  <c r="J109" i="13"/>
  <c r="J96" i="13"/>
  <c r="L109" i="12"/>
  <c r="L96" i="12"/>
  <c r="R109" i="11"/>
  <c r="R96" i="11"/>
  <c r="R96" i="10"/>
  <c r="Q109" i="8"/>
  <c r="M96" i="9"/>
  <c r="M109" i="9"/>
  <c r="R109" i="10"/>
  <c r="I87" i="16" l="1"/>
  <c r="L92" i="12"/>
  <c r="L91" i="12"/>
  <c r="L90" i="12"/>
  <c r="L89" i="12"/>
  <c r="L88" i="12"/>
  <c r="L87" i="12"/>
  <c r="L86" i="12"/>
  <c r="L85" i="12"/>
  <c r="L84" i="12"/>
  <c r="L83" i="12"/>
  <c r="L82" i="12"/>
  <c r="M112" i="9"/>
  <c r="M107" i="9"/>
  <c r="M106" i="9"/>
  <c r="M105" i="9"/>
  <c r="M104" i="9"/>
  <c r="M103" i="9"/>
  <c r="M102" i="9"/>
  <c r="M101" i="9"/>
  <c r="M100" i="9"/>
  <c r="M99" i="9"/>
  <c r="M92" i="9"/>
  <c r="M91" i="9"/>
  <c r="M90" i="9"/>
  <c r="M89" i="9"/>
  <c r="M88" i="9"/>
  <c r="M87" i="9"/>
  <c r="M86" i="9"/>
  <c r="M85" i="9"/>
  <c r="E93" i="16" l="1"/>
  <c r="R117" i="11" l="1"/>
  <c r="N93" i="11"/>
  <c r="G93" i="15" l="1"/>
  <c r="J93" i="12" l="1"/>
  <c r="J95" i="12" s="1"/>
  <c r="J97" i="12" s="1"/>
  <c r="J126" i="12"/>
  <c r="J124" i="12"/>
  <c r="J116" i="12"/>
  <c r="J115" i="12"/>
  <c r="J114" i="12"/>
  <c r="J113" i="12"/>
  <c r="J108" i="12"/>
  <c r="J110" i="12" s="1"/>
  <c r="J78" i="12"/>
  <c r="J64" i="12"/>
  <c r="J51" i="12"/>
  <c r="J65" i="12" s="1"/>
  <c r="J31" i="12"/>
  <c r="J56" i="12" s="1"/>
  <c r="J9" i="12"/>
  <c r="J118" i="12" l="1"/>
  <c r="J133" i="12" s="1"/>
  <c r="J57" i="12"/>
  <c r="J58" i="12"/>
  <c r="J67" i="12" s="1"/>
  <c r="J119" i="12"/>
  <c r="J120" i="12" s="1"/>
  <c r="J129" i="12"/>
  <c r="J66" i="12"/>
  <c r="J55" i="12"/>
  <c r="J122" i="12" s="1"/>
  <c r="N93" i="8"/>
  <c r="J131" i="12" l="1"/>
  <c r="N13" i="8"/>
  <c r="G136" i="16" l="1"/>
  <c r="G93" i="16"/>
  <c r="D78" i="16"/>
  <c r="G78" i="16"/>
  <c r="F78" i="16"/>
  <c r="G126" i="16"/>
  <c r="G124" i="16"/>
  <c r="G116" i="16"/>
  <c r="G115" i="16"/>
  <c r="G114" i="16"/>
  <c r="G113" i="16"/>
  <c r="G108" i="16"/>
  <c r="G110" i="16" s="1"/>
  <c r="G95" i="16"/>
  <c r="G97" i="16" s="1"/>
  <c r="G64" i="16"/>
  <c r="G51" i="16"/>
  <c r="G65" i="16" s="1"/>
  <c r="G31" i="16"/>
  <c r="G9" i="16"/>
  <c r="G56" i="16" l="1"/>
  <c r="G57" i="16"/>
  <c r="G58" i="16"/>
  <c r="G67" i="16" s="1"/>
  <c r="G118" i="16"/>
  <c r="G133" i="16" s="1"/>
  <c r="G55" i="16"/>
  <c r="G122" i="16" s="1"/>
  <c r="G119" i="16"/>
  <c r="G120" i="16" s="1"/>
  <c r="G129" i="16"/>
  <c r="G66" i="16"/>
  <c r="C93" i="13"/>
  <c r="G131" i="16" l="1"/>
  <c r="J93" i="8"/>
  <c r="H93" i="12" l="1"/>
  <c r="H13" i="12"/>
  <c r="I93" i="11" l="1"/>
  <c r="F93" i="12" l="1"/>
  <c r="D60" i="12" l="1"/>
  <c r="D63" i="12"/>
  <c r="H93" i="10" l="1"/>
  <c r="C93" i="14" l="1"/>
  <c r="I93" i="9" l="1"/>
  <c r="M82" i="9"/>
  <c r="M12" i="9"/>
  <c r="M11" i="9"/>
  <c r="M8" i="9"/>
  <c r="N93" i="10" l="1"/>
  <c r="L93" i="8" l="1"/>
  <c r="F93" i="15" l="1"/>
  <c r="C93" i="8" l="1"/>
  <c r="C8" i="8"/>
  <c r="F93" i="11" l="1"/>
  <c r="F103" i="14" l="1"/>
  <c r="F93" i="14"/>
  <c r="F30" i="14"/>
  <c r="F60" i="14" l="1"/>
  <c r="C93" i="15" l="1"/>
  <c r="H93" i="11" l="1"/>
  <c r="H13" i="11"/>
  <c r="K108" i="11" l="1"/>
  <c r="K93" i="11"/>
  <c r="K13" i="11"/>
  <c r="I107" i="15"/>
  <c r="E93" i="15"/>
  <c r="F136" i="16" l="1"/>
  <c r="F93" i="16"/>
  <c r="M93" i="8" l="1"/>
  <c r="F93" i="8" l="1"/>
  <c r="F83" i="8"/>
  <c r="E100" i="13"/>
  <c r="J107" i="13"/>
  <c r="E93" i="13"/>
  <c r="E84" i="13"/>
  <c r="E83" i="13"/>
  <c r="G9" i="13"/>
  <c r="F93" i="9"/>
  <c r="E93" i="9"/>
  <c r="E84" i="9"/>
  <c r="M84" i="9" s="1"/>
  <c r="E83" i="9"/>
  <c r="M83" i="9" s="1"/>
  <c r="E13" i="9"/>
  <c r="L100" i="10"/>
  <c r="L93" i="10"/>
  <c r="L84" i="10"/>
  <c r="L83" i="10"/>
  <c r="L13" i="10"/>
  <c r="J93" i="11"/>
  <c r="J84" i="11"/>
  <c r="J83" i="11"/>
  <c r="D93" i="9"/>
  <c r="D13" i="9"/>
  <c r="D100" i="8"/>
  <c r="D93" i="8"/>
  <c r="D84" i="8"/>
  <c r="D13" i="8"/>
  <c r="J100" i="10" l="1"/>
  <c r="J93" i="10"/>
  <c r="J84" i="10"/>
  <c r="J83" i="10"/>
  <c r="J13" i="10"/>
  <c r="I93" i="8"/>
  <c r="I84" i="8"/>
  <c r="I46" i="8"/>
  <c r="I28" i="8"/>
  <c r="G93" i="11" l="1"/>
  <c r="G13" i="11"/>
  <c r="G126" i="11"/>
  <c r="G124" i="11"/>
  <c r="G116" i="11"/>
  <c r="G115" i="11"/>
  <c r="G114" i="11"/>
  <c r="G113" i="11"/>
  <c r="G108" i="11"/>
  <c r="G110" i="11" s="1"/>
  <c r="G95" i="11"/>
  <c r="G97" i="11" s="1"/>
  <c r="G64" i="11"/>
  <c r="G51" i="11"/>
  <c r="G65" i="11" s="1"/>
  <c r="G31" i="11"/>
  <c r="G9" i="11"/>
  <c r="G93" i="12"/>
  <c r="D93" i="16"/>
  <c r="G118" i="11" l="1"/>
  <c r="G133" i="11" s="1"/>
  <c r="G56" i="11"/>
  <c r="G55" i="11"/>
  <c r="G122" i="11" s="1"/>
  <c r="G58" i="11"/>
  <c r="G57" i="11"/>
  <c r="G129" i="11"/>
  <c r="G119" i="11"/>
  <c r="G120" i="11" s="1"/>
  <c r="H93" i="9"/>
  <c r="H13" i="9"/>
  <c r="I93" i="12"/>
  <c r="H107" i="14"/>
  <c r="H92" i="14"/>
  <c r="D93" i="14"/>
  <c r="H91" i="14"/>
  <c r="H90" i="14"/>
  <c r="H89" i="14"/>
  <c r="H88" i="14"/>
  <c r="H87" i="14"/>
  <c r="E93" i="10"/>
  <c r="G131" i="11" l="1"/>
  <c r="E51" i="10"/>
  <c r="E93" i="8" l="1"/>
  <c r="K93" i="10"/>
  <c r="G93" i="13" l="1"/>
  <c r="C93" i="9"/>
  <c r="C13" i="9"/>
  <c r="G93" i="9" l="1"/>
  <c r="M93" i="9" s="1"/>
  <c r="M103" i="10" l="1"/>
  <c r="M93" i="10"/>
  <c r="I107" i="16" l="1"/>
  <c r="C93" i="16"/>
  <c r="C52" i="16"/>
  <c r="F9" i="16"/>
  <c r="E9" i="16"/>
  <c r="D9" i="16"/>
  <c r="C9" i="16"/>
  <c r="D93" i="12" l="1"/>
  <c r="E93" i="12" l="1"/>
  <c r="E13" i="12"/>
  <c r="L13" i="12" s="1"/>
  <c r="E93" i="11"/>
  <c r="E84" i="11"/>
  <c r="E83" i="11"/>
  <c r="E13" i="11"/>
  <c r="C93" i="10"/>
  <c r="C84" i="10"/>
  <c r="C13" i="10"/>
  <c r="C30" i="10"/>
  <c r="C93" i="12"/>
  <c r="D93" i="11"/>
  <c r="R107" i="11"/>
  <c r="C93" i="11"/>
  <c r="D93" i="10"/>
  <c r="D13" i="10"/>
  <c r="H93" i="8" l="1"/>
  <c r="M93" i="11" l="1"/>
  <c r="L93" i="11" l="1"/>
  <c r="H93" i="13" l="1"/>
  <c r="C64" i="13"/>
  <c r="D64" i="13"/>
  <c r="E64" i="13"/>
  <c r="F64" i="13"/>
  <c r="G64" i="13"/>
  <c r="H64" i="13"/>
  <c r="H13" i="13"/>
  <c r="R107" i="10" l="1"/>
  <c r="I93" i="10"/>
  <c r="F116" i="16" l="1"/>
  <c r="E116" i="16"/>
  <c r="D116" i="16"/>
  <c r="C116" i="16"/>
  <c r="F115" i="16"/>
  <c r="E115" i="16"/>
  <c r="D115" i="16"/>
  <c r="C115" i="16"/>
  <c r="F114" i="16"/>
  <c r="E114" i="16"/>
  <c r="D114" i="16"/>
  <c r="C114" i="16"/>
  <c r="I114" i="16" s="1"/>
  <c r="F113" i="16"/>
  <c r="E113" i="16"/>
  <c r="D113" i="16"/>
  <c r="C113" i="16"/>
  <c r="G116" i="15"/>
  <c r="F116" i="15"/>
  <c r="E116" i="15"/>
  <c r="D116" i="15"/>
  <c r="C116" i="15"/>
  <c r="G115" i="15"/>
  <c r="F115" i="15"/>
  <c r="E115" i="15"/>
  <c r="D115" i="15"/>
  <c r="C115" i="15"/>
  <c r="G114" i="15"/>
  <c r="F114" i="15"/>
  <c r="E114" i="15"/>
  <c r="D114" i="15"/>
  <c r="C114" i="15"/>
  <c r="G113" i="15"/>
  <c r="F113" i="15"/>
  <c r="E113" i="15"/>
  <c r="D113" i="15"/>
  <c r="C113" i="15"/>
  <c r="F116" i="14"/>
  <c r="F115" i="14"/>
  <c r="F114" i="14"/>
  <c r="F113" i="14"/>
  <c r="D116" i="14"/>
  <c r="D115" i="14"/>
  <c r="D114" i="14"/>
  <c r="D113" i="14"/>
  <c r="C116" i="14"/>
  <c r="C115" i="14"/>
  <c r="C114" i="14"/>
  <c r="H114" i="14" s="1"/>
  <c r="C113" i="14"/>
  <c r="H116" i="13"/>
  <c r="G116" i="13"/>
  <c r="F116" i="13"/>
  <c r="E116" i="13"/>
  <c r="D116" i="13"/>
  <c r="H115" i="13"/>
  <c r="G115" i="13"/>
  <c r="F115" i="13"/>
  <c r="E115" i="13"/>
  <c r="D115" i="13"/>
  <c r="H114" i="13"/>
  <c r="G114" i="13"/>
  <c r="F114" i="13"/>
  <c r="E114" i="13"/>
  <c r="D114" i="13"/>
  <c r="H113" i="13"/>
  <c r="G113" i="13"/>
  <c r="F113" i="13"/>
  <c r="E113" i="13"/>
  <c r="D113" i="13"/>
  <c r="C116" i="13"/>
  <c r="C115" i="13"/>
  <c r="C114" i="13"/>
  <c r="C113" i="13"/>
  <c r="I116" i="12"/>
  <c r="H116" i="12"/>
  <c r="G116" i="12"/>
  <c r="F116" i="12"/>
  <c r="E116" i="12"/>
  <c r="D116" i="12"/>
  <c r="I115" i="12"/>
  <c r="H115" i="12"/>
  <c r="G115" i="12"/>
  <c r="F115" i="12"/>
  <c r="E115" i="12"/>
  <c r="D115" i="12"/>
  <c r="I114" i="12"/>
  <c r="H114" i="12"/>
  <c r="G114" i="12"/>
  <c r="F114" i="12"/>
  <c r="E114" i="12"/>
  <c r="D114" i="12"/>
  <c r="I113" i="12"/>
  <c r="H113" i="12"/>
  <c r="G113" i="12"/>
  <c r="F113" i="12"/>
  <c r="E113" i="12"/>
  <c r="D113" i="12"/>
  <c r="C116" i="12"/>
  <c r="C115" i="12"/>
  <c r="C114" i="12"/>
  <c r="C113" i="12"/>
  <c r="N116" i="11"/>
  <c r="M116" i="11"/>
  <c r="L116" i="11"/>
  <c r="K116" i="11"/>
  <c r="J116" i="11"/>
  <c r="I116" i="11"/>
  <c r="H116" i="11"/>
  <c r="F116" i="11"/>
  <c r="E116" i="11"/>
  <c r="D116" i="11"/>
  <c r="N115" i="11"/>
  <c r="M115" i="11"/>
  <c r="L115" i="11"/>
  <c r="K115" i="11"/>
  <c r="J115" i="11"/>
  <c r="I115" i="11"/>
  <c r="H115" i="11"/>
  <c r="F115" i="11"/>
  <c r="E115" i="11"/>
  <c r="D115" i="11"/>
  <c r="N114" i="11"/>
  <c r="M114" i="11"/>
  <c r="L114" i="11"/>
  <c r="K114" i="11"/>
  <c r="J114" i="11"/>
  <c r="I114" i="11"/>
  <c r="H114" i="11"/>
  <c r="F114" i="11"/>
  <c r="E114" i="11"/>
  <c r="D114" i="11"/>
  <c r="N113" i="11"/>
  <c r="M113" i="11"/>
  <c r="L113" i="11"/>
  <c r="K113" i="11"/>
  <c r="J113" i="11"/>
  <c r="I113" i="11"/>
  <c r="H113" i="11"/>
  <c r="F113" i="11"/>
  <c r="E113" i="11"/>
  <c r="D113" i="11"/>
  <c r="C116" i="11"/>
  <c r="C115" i="11"/>
  <c r="C114" i="11"/>
  <c r="C113" i="11"/>
  <c r="P114" i="10"/>
  <c r="O114" i="10"/>
  <c r="N114" i="10"/>
  <c r="M114" i="10"/>
  <c r="L114" i="10"/>
  <c r="K114" i="10"/>
  <c r="J114" i="10"/>
  <c r="I114" i="10"/>
  <c r="H114" i="10"/>
  <c r="E114" i="10"/>
  <c r="D114" i="10"/>
  <c r="C114" i="10"/>
  <c r="K116" i="9"/>
  <c r="I116" i="9"/>
  <c r="H116" i="9"/>
  <c r="G116" i="9"/>
  <c r="F116" i="9"/>
  <c r="E116" i="9"/>
  <c r="D116" i="9"/>
  <c r="K115" i="9"/>
  <c r="I115" i="9"/>
  <c r="H115" i="9"/>
  <c r="G115" i="9"/>
  <c r="F115" i="9"/>
  <c r="E115" i="9"/>
  <c r="D115" i="9"/>
  <c r="K114" i="9"/>
  <c r="I114" i="9"/>
  <c r="H114" i="9"/>
  <c r="G114" i="9"/>
  <c r="F114" i="9"/>
  <c r="E114" i="9"/>
  <c r="D114" i="9"/>
  <c r="K113" i="9"/>
  <c r="I113" i="9"/>
  <c r="H113" i="9"/>
  <c r="G113" i="9"/>
  <c r="F113" i="9"/>
  <c r="E113" i="9"/>
  <c r="D113" i="9"/>
  <c r="C116" i="9"/>
  <c r="C115" i="9"/>
  <c r="C114" i="9"/>
  <c r="C113" i="9"/>
  <c r="N114" i="8"/>
  <c r="M114" i="8"/>
  <c r="L114" i="8"/>
  <c r="K114" i="8"/>
  <c r="J114" i="8"/>
  <c r="I114" i="8"/>
  <c r="H114" i="8"/>
  <c r="G114" i="8"/>
  <c r="F114" i="8"/>
  <c r="E114" i="8"/>
  <c r="D114" i="8"/>
  <c r="C114" i="8"/>
  <c r="Q114" i="8" s="1"/>
  <c r="O93" i="10"/>
  <c r="J114" i="13" l="1"/>
  <c r="M114" i="9"/>
  <c r="L114" i="12"/>
  <c r="R114" i="11"/>
  <c r="M113" i="9"/>
  <c r="I114" i="15"/>
  <c r="R114" i="10"/>
  <c r="N116" i="8"/>
  <c r="M116" i="8"/>
  <c r="L116" i="8"/>
  <c r="K116" i="8"/>
  <c r="J116" i="8"/>
  <c r="I116" i="8"/>
  <c r="H116" i="8"/>
  <c r="N115" i="8"/>
  <c r="M115" i="8"/>
  <c r="L115" i="8"/>
  <c r="K115" i="8"/>
  <c r="J115" i="8"/>
  <c r="I115" i="8"/>
  <c r="H115" i="8"/>
  <c r="N113" i="8"/>
  <c r="M113" i="8"/>
  <c r="L113" i="8"/>
  <c r="K113" i="8"/>
  <c r="J113" i="8"/>
  <c r="I113" i="8"/>
  <c r="H113" i="8"/>
  <c r="F116" i="8"/>
  <c r="E116" i="8"/>
  <c r="D116" i="8"/>
  <c r="C116" i="8"/>
  <c r="F115" i="8"/>
  <c r="E115" i="8"/>
  <c r="D115" i="8"/>
  <c r="C115" i="8"/>
  <c r="F113" i="8"/>
  <c r="E113" i="8"/>
  <c r="D113" i="8"/>
  <c r="C113" i="8"/>
  <c r="G116" i="8"/>
  <c r="G115" i="8"/>
  <c r="G113" i="8"/>
  <c r="Q107" i="8"/>
  <c r="P93" i="10" l="1"/>
  <c r="P83" i="10"/>
  <c r="P116" i="10"/>
  <c r="O116" i="10"/>
  <c r="N116" i="10"/>
  <c r="M116" i="10"/>
  <c r="L116" i="10"/>
  <c r="K116" i="10"/>
  <c r="J116" i="10"/>
  <c r="I116" i="10"/>
  <c r="H116" i="10"/>
  <c r="E116" i="10"/>
  <c r="D116" i="10"/>
  <c r="P115" i="10"/>
  <c r="O115" i="10"/>
  <c r="N115" i="10"/>
  <c r="M115" i="10"/>
  <c r="L115" i="10"/>
  <c r="K115" i="10"/>
  <c r="J115" i="10"/>
  <c r="I115" i="10"/>
  <c r="H115" i="10"/>
  <c r="E115" i="10"/>
  <c r="D115" i="10"/>
  <c r="P113" i="10"/>
  <c r="O113" i="10"/>
  <c r="N113" i="10"/>
  <c r="M113" i="10"/>
  <c r="L113" i="10"/>
  <c r="K113" i="10"/>
  <c r="J113" i="10"/>
  <c r="I113" i="10"/>
  <c r="H113" i="10"/>
  <c r="E113" i="10"/>
  <c r="D113" i="10"/>
  <c r="C116" i="10"/>
  <c r="C115" i="10"/>
  <c r="C113" i="10"/>
  <c r="F118" i="16" l="1"/>
  <c r="E118" i="16"/>
  <c r="D118" i="16"/>
  <c r="F108" i="16"/>
  <c r="F110" i="16" s="1"/>
  <c r="F119" i="16" s="1"/>
  <c r="E108" i="16"/>
  <c r="E110" i="16" s="1"/>
  <c r="E119" i="16" s="1"/>
  <c r="D108" i="16"/>
  <c r="D110" i="16" s="1"/>
  <c r="D119" i="16" s="1"/>
  <c r="F95" i="16"/>
  <c r="F97" i="16" s="1"/>
  <c r="E95" i="16"/>
  <c r="E97" i="16" s="1"/>
  <c r="D95" i="16"/>
  <c r="D97" i="16" s="1"/>
  <c r="C118" i="16"/>
  <c r="C108" i="16"/>
  <c r="C95" i="16"/>
  <c r="C64" i="16"/>
  <c r="G108" i="15"/>
  <c r="G110" i="15" s="1"/>
  <c r="F108" i="15"/>
  <c r="F110" i="15" s="1"/>
  <c r="E108" i="15"/>
  <c r="E110" i="15" s="1"/>
  <c r="D108" i="15"/>
  <c r="G95" i="15"/>
  <c r="G97" i="15" s="1"/>
  <c r="F95" i="15"/>
  <c r="F97" i="15" s="1"/>
  <c r="E95" i="15"/>
  <c r="E97" i="15" s="1"/>
  <c r="D95" i="15"/>
  <c r="C108" i="15"/>
  <c r="C110" i="15" s="1"/>
  <c r="C95" i="15"/>
  <c r="C97" i="15" s="1"/>
  <c r="D58" i="15"/>
  <c r="D57" i="15"/>
  <c r="D56" i="15"/>
  <c r="D55" i="15"/>
  <c r="C64" i="15"/>
  <c r="F118" i="14"/>
  <c r="E118" i="14"/>
  <c r="D118" i="14"/>
  <c r="F108" i="14"/>
  <c r="F110" i="14" s="1"/>
  <c r="F119" i="14" s="1"/>
  <c r="E108" i="14"/>
  <c r="D108" i="14"/>
  <c r="D110" i="14" s="1"/>
  <c r="D119" i="14" s="1"/>
  <c r="F95" i="14"/>
  <c r="F97" i="14" s="1"/>
  <c r="E95" i="14"/>
  <c r="D95" i="14"/>
  <c r="D97" i="14" s="1"/>
  <c r="C118" i="14"/>
  <c r="C108" i="14"/>
  <c r="C110" i="14" s="1"/>
  <c r="C119" i="14" s="1"/>
  <c r="C95" i="14"/>
  <c r="C97" i="14" s="1"/>
  <c r="E58" i="14"/>
  <c r="E57" i="14"/>
  <c r="E56" i="14"/>
  <c r="E55" i="14"/>
  <c r="E122" i="14" s="1"/>
  <c r="E66" i="14"/>
  <c r="C64" i="14"/>
  <c r="H108" i="13"/>
  <c r="H110" i="13" s="1"/>
  <c r="G108" i="13"/>
  <c r="G110" i="13" s="1"/>
  <c r="F108" i="13"/>
  <c r="F110" i="13" s="1"/>
  <c r="E108" i="13"/>
  <c r="E110" i="13" s="1"/>
  <c r="D108" i="13"/>
  <c r="H95" i="13"/>
  <c r="H97" i="13" s="1"/>
  <c r="G95" i="13"/>
  <c r="G97" i="13" s="1"/>
  <c r="F95" i="13"/>
  <c r="F97" i="13" s="1"/>
  <c r="E95" i="13"/>
  <c r="E97" i="13" s="1"/>
  <c r="D95" i="13"/>
  <c r="C118" i="13"/>
  <c r="C108" i="13"/>
  <c r="C110" i="13" s="1"/>
  <c r="C119" i="13" s="1"/>
  <c r="C95" i="13"/>
  <c r="C97" i="13" s="1"/>
  <c r="I108" i="12"/>
  <c r="I110" i="12" s="1"/>
  <c r="H108" i="12"/>
  <c r="H110" i="12" s="1"/>
  <c r="G108" i="12"/>
  <c r="G110" i="12" s="1"/>
  <c r="F108" i="12"/>
  <c r="F110" i="12" s="1"/>
  <c r="E108" i="12"/>
  <c r="E110" i="12" s="1"/>
  <c r="D108" i="12"/>
  <c r="D110" i="12" s="1"/>
  <c r="I95" i="12"/>
  <c r="I97" i="12" s="1"/>
  <c r="H95" i="12"/>
  <c r="H97" i="12" s="1"/>
  <c r="G95" i="12"/>
  <c r="G97" i="12" s="1"/>
  <c r="F95" i="12"/>
  <c r="F97" i="12" s="1"/>
  <c r="E95" i="12"/>
  <c r="E97" i="12" s="1"/>
  <c r="D95" i="12"/>
  <c r="D97" i="12" s="1"/>
  <c r="C108" i="12"/>
  <c r="C95" i="12"/>
  <c r="N108" i="11"/>
  <c r="N110" i="11" s="1"/>
  <c r="M108" i="11"/>
  <c r="M110" i="11" s="1"/>
  <c r="L108" i="11"/>
  <c r="L110" i="11" s="1"/>
  <c r="K110" i="11"/>
  <c r="J108" i="11"/>
  <c r="J110" i="11" s="1"/>
  <c r="I108" i="11"/>
  <c r="I110" i="11" s="1"/>
  <c r="H108" i="11"/>
  <c r="H110" i="11" s="1"/>
  <c r="F108" i="11"/>
  <c r="F110" i="11" s="1"/>
  <c r="E108" i="11"/>
  <c r="E110" i="11" s="1"/>
  <c r="D108" i="11"/>
  <c r="D110" i="11" s="1"/>
  <c r="C108" i="11"/>
  <c r="N95" i="11"/>
  <c r="N97" i="11" s="1"/>
  <c r="M95" i="11"/>
  <c r="M97" i="11" s="1"/>
  <c r="L95" i="11"/>
  <c r="L97" i="11" s="1"/>
  <c r="K95" i="11"/>
  <c r="K97" i="11" s="1"/>
  <c r="J95" i="11"/>
  <c r="J97" i="11" s="1"/>
  <c r="I95" i="11"/>
  <c r="I97" i="11" s="1"/>
  <c r="H95" i="11"/>
  <c r="H97" i="11" s="1"/>
  <c r="F95" i="11"/>
  <c r="F97" i="11" s="1"/>
  <c r="E95" i="11"/>
  <c r="E97" i="11" s="1"/>
  <c r="D95" i="11"/>
  <c r="D97" i="11" s="1"/>
  <c r="C95" i="11"/>
  <c r="G67" i="11"/>
  <c r="G66" i="11"/>
  <c r="C51" i="11"/>
  <c r="I108" i="9"/>
  <c r="I110" i="9" s="1"/>
  <c r="H108" i="9"/>
  <c r="H110" i="9" s="1"/>
  <c r="G108" i="9"/>
  <c r="G110" i="9" s="1"/>
  <c r="F108" i="9"/>
  <c r="F110" i="9" s="1"/>
  <c r="E108" i="9"/>
  <c r="E110" i="9" s="1"/>
  <c r="D108" i="9"/>
  <c r="D110" i="9" s="1"/>
  <c r="C108" i="9"/>
  <c r="C110" i="9" s="1"/>
  <c r="C108" i="10"/>
  <c r="C110" i="10" s="1"/>
  <c r="D108" i="10"/>
  <c r="D110" i="10" s="1"/>
  <c r="P108" i="10"/>
  <c r="P110" i="10" s="1"/>
  <c r="O108" i="10"/>
  <c r="O110" i="10" s="1"/>
  <c r="N108" i="10"/>
  <c r="N110" i="10" s="1"/>
  <c r="M108" i="10"/>
  <c r="M110" i="10" s="1"/>
  <c r="L108" i="10"/>
  <c r="L110" i="10" s="1"/>
  <c r="K108" i="10"/>
  <c r="K110" i="10" s="1"/>
  <c r="J108" i="10"/>
  <c r="J110" i="10" s="1"/>
  <c r="I108" i="10"/>
  <c r="I110" i="10" s="1"/>
  <c r="H108" i="10"/>
  <c r="H110" i="10" s="1"/>
  <c r="E108" i="10"/>
  <c r="E110" i="10" s="1"/>
  <c r="N97" i="10"/>
  <c r="P95" i="10"/>
  <c r="P97" i="10" s="1"/>
  <c r="O95" i="10"/>
  <c r="O97" i="10" s="1"/>
  <c r="N95" i="10"/>
  <c r="M95" i="10"/>
  <c r="M97" i="10" s="1"/>
  <c r="L95" i="10"/>
  <c r="L97" i="10" s="1"/>
  <c r="K95" i="10"/>
  <c r="K97" i="10" s="1"/>
  <c r="J95" i="10"/>
  <c r="J97" i="10" s="1"/>
  <c r="I95" i="10"/>
  <c r="I97" i="10" s="1"/>
  <c r="H95" i="10"/>
  <c r="H97" i="10" s="1"/>
  <c r="E95" i="10"/>
  <c r="E97" i="10" s="1"/>
  <c r="D95" i="10"/>
  <c r="D97" i="10" s="1"/>
  <c r="C95" i="10"/>
  <c r="C97" i="10" s="1"/>
  <c r="K108" i="9"/>
  <c r="K110" i="9" s="1"/>
  <c r="E95" i="9"/>
  <c r="E97" i="9" s="1"/>
  <c r="I95" i="9"/>
  <c r="I97" i="9" s="1"/>
  <c r="H95" i="9"/>
  <c r="H97" i="9" s="1"/>
  <c r="G95" i="9"/>
  <c r="G97" i="9" s="1"/>
  <c r="F95" i="9"/>
  <c r="D95" i="9"/>
  <c r="D97" i="9" s="1"/>
  <c r="K95" i="9"/>
  <c r="K97" i="9" s="1"/>
  <c r="C95" i="9"/>
  <c r="C97" i="9" s="1"/>
  <c r="N108" i="8"/>
  <c r="N110" i="8" s="1"/>
  <c r="M108" i="8"/>
  <c r="M110" i="8" s="1"/>
  <c r="L108" i="8"/>
  <c r="L110" i="8" s="1"/>
  <c r="K108" i="8"/>
  <c r="K110" i="8" s="1"/>
  <c r="J108" i="8"/>
  <c r="J110" i="8" s="1"/>
  <c r="I108" i="8"/>
  <c r="I110" i="8" s="1"/>
  <c r="H108" i="8"/>
  <c r="H110" i="8" s="1"/>
  <c r="G108" i="8"/>
  <c r="G110" i="8" s="1"/>
  <c r="F108" i="8"/>
  <c r="F110" i="8" s="1"/>
  <c r="E108" i="8"/>
  <c r="E110" i="8" s="1"/>
  <c r="D108" i="8"/>
  <c r="D110" i="8" s="1"/>
  <c r="C108" i="8"/>
  <c r="Q96" i="8"/>
  <c r="J97" i="8"/>
  <c r="N95" i="8"/>
  <c r="N97" i="8" s="1"/>
  <c r="M95" i="8"/>
  <c r="M97" i="8" s="1"/>
  <c r="L95" i="8"/>
  <c r="L97" i="8" s="1"/>
  <c r="K95" i="8"/>
  <c r="K97" i="8" s="1"/>
  <c r="J95" i="8"/>
  <c r="I95" i="8"/>
  <c r="I97" i="8" s="1"/>
  <c r="H95" i="8"/>
  <c r="H97" i="8" s="1"/>
  <c r="G95" i="8"/>
  <c r="G97" i="8" s="1"/>
  <c r="F95" i="8"/>
  <c r="F97" i="8" s="1"/>
  <c r="E95" i="8"/>
  <c r="E97" i="8" s="1"/>
  <c r="D95" i="8"/>
  <c r="D97" i="8" s="1"/>
  <c r="C95" i="8"/>
  <c r="C97" i="8" s="1"/>
  <c r="D64" i="14"/>
  <c r="F64" i="14"/>
  <c r="N64" i="8"/>
  <c r="M64" i="8"/>
  <c r="L64" i="8"/>
  <c r="K64" i="8"/>
  <c r="J64" i="8"/>
  <c r="I64" i="8"/>
  <c r="H64" i="8"/>
  <c r="G64" i="8"/>
  <c r="F64" i="8"/>
  <c r="E64" i="8"/>
  <c r="D64" i="8"/>
  <c r="C64" i="8"/>
  <c r="C64" i="9"/>
  <c r="D64" i="9"/>
  <c r="E64" i="9"/>
  <c r="F64" i="9"/>
  <c r="G64" i="9"/>
  <c r="H64" i="9"/>
  <c r="I64" i="9"/>
  <c r="K64" i="9"/>
  <c r="J95" i="13" l="1"/>
  <c r="C110" i="12"/>
  <c r="L108" i="12"/>
  <c r="C110" i="8"/>
  <c r="Q108" i="8"/>
  <c r="H95" i="14"/>
  <c r="C110" i="11"/>
  <c r="R108" i="11"/>
  <c r="C97" i="11"/>
  <c r="R95" i="11"/>
  <c r="M108" i="9"/>
  <c r="C97" i="12"/>
  <c r="L95" i="12"/>
  <c r="C97" i="16"/>
  <c r="I95" i="16"/>
  <c r="C110" i="16"/>
  <c r="C119" i="16" s="1"/>
  <c r="I108" i="16"/>
  <c r="H108" i="14"/>
  <c r="F97" i="9"/>
  <c r="M95" i="9"/>
  <c r="D110" i="13"/>
  <c r="J108" i="13"/>
  <c r="D97" i="13"/>
  <c r="R108" i="10"/>
  <c r="R95" i="10"/>
  <c r="E110" i="14"/>
  <c r="E119" i="14" s="1"/>
  <c r="E97" i="14"/>
  <c r="D110" i="15"/>
  <c r="I108" i="15"/>
  <c r="D97" i="15"/>
  <c r="I95" i="15"/>
  <c r="F120" i="14"/>
  <c r="Q95" i="8"/>
  <c r="N126" i="10"/>
  <c r="N124" i="10"/>
  <c r="N118" i="10"/>
  <c r="N119" i="10"/>
  <c r="N64" i="10"/>
  <c r="N51" i="10"/>
  <c r="N65" i="10" s="1"/>
  <c r="N31" i="10"/>
  <c r="N9" i="10"/>
  <c r="E133" i="14" l="1"/>
  <c r="E131" i="14"/>
  <c r="E120" i="14"/>
  <c r="E129" i="14"/>
  <c r="N58" i="10"/>
  <c r="N57" i="10"/>
  <c r="N55" i="10"/>
  <c r="N122" i="10" s="1"/>
  <c r="N56" i="10"/>
  <c r="N66" i="10"/>
  <c r="N129" i="10"/>
  <c r="N133" i="10"/>
  <c r="N131" i="10"/>
  <c r="J126" i="8"/>
  <c r="J124" i="8"/>
  <c r="J51" i="8"/>
  <c r="J65" i="8" s="1"/>
  <c r="J31" i="8"/>
  <c r="J9" i="8"/>
  <c r="J57" i="8" l="1"/>
  <c r="J58" i="8"/>
  <c r="J55" i="8"/>
  <c r="J122" i="8" s="1"/>
  <c r="J56" i="8"/>
  <c r="J66" i="8"/>
  <c r="J129" i="8"/>
  <c r="J119" i="8"/>
  <c r="J120" i="8" s="1"/>
  <c r="J118" i="8"/>
  <c r="J133" i="8" l="1"/>
  <c r="J131" i="8"/>
  <c r="F126" i="14"/>
  <c r="F124" i="14"/>
  <c r="F51" i="14"/>
  <c r="F65" i="14" s="1"/>
  <c r="F31" i="14"/>
  <c r="F9" i="14"/>
  <c r="F66" i="14" l="1"/>
  <c r="F57" i="14"/>
  <c r="F56" i="14"/>
  <c r="F55" i="14"/>
  <c r="F58" i="14"/>
  <c r="F131" i="14"/>
  <c r="F133" i="14"/>
  <c r="F129" i="14"/>
  <c r="G78" i="11"/>
  <c r="F122" i="14" l="1"/>
  <c r="E67" i="14"/>
  <c r="F126" i="16" l="1"/>
  <c r="E126" i="16"/>
  <c r="D126" i="16"/>
  <c r="C126" i="16"/>
  <c r="F124" i="16"/>
  <c r="E124" i="16"/>
  <c r="D124" i="16"/>
  <c r="C124" i="16"/>
  <c r="G126" i="15"/>
  <c r="F126" i="15"/>
  <c r="E126" i="15"/>
  <c r="D126" i="15"/>
  <c r="C126" i="15"/>
  <c r="G124" i="15"/>
  <c r="F124" i="15"/>
  <c r="E124" i="15"/>
  <c r="D124" i="15"/>
  <c r="C124" i="15"/>
  <c r="D126" i="14"/>
  <c r="C126" i="14"/>
  <c r="D124" i="14"/>
  <c r="C124" i="14"/>
  <c r="H126" i="13"/>
  <c r="G126" i="13"/>
  <c r="F126" i="13"/>
  <c r="E126" i="13"/>
  <c r="D126" i="13"/>
  <c r="C126" i="13"/>
  <c r="H124" i="13"/>
  <c r="G124" i="13"/>
  <c r="F124" i="13"/>
  <c r="E124" i="13"/>
  <c r="D124" i="13"/>
  <c r="C124" i="13"/>
  <c r="I126" i="12"/>
  <c r="H126" i="12"/>
  <c r="G126" i="12"/>
  <c r="F126" i="12"/>
  <c r="E126" i="12"/>
  <c r="D126" i="12"/>
  <c r="C126" i="12"/>
  <c r="I124" i="12"/>
  <c r="H124" i="12"/>
  <c r="G124" i="12"/>
  <c r="F124" i="12"/>
  <c r="E124" i="12"/>
  <c r="D124" i="12"/>
  <c r="C124" i="12"/>
  <c r="N126" i="11"/>
  <c r="M126" i="11"/>
  <c r="L126" i="11"/>
  <c r="K126" i="11"/>
  <c r="J126" i="11"/>
  <c r="I126" i="11"/>
  <c r="H126" i="11"/>
  <c r="F126" i="11"/>
  <c r="E126" i="11"/>
  <c r="D126" i="11"/>
  <c r="C126" i="11"/>
  <c r="N124" i="11"/>
  <c r="M124" i="11"/>
  <c r="L124" i="11"/>
  <c r="K124" i="11"/>
  <c r="J124" i="11"/>
  <c r="I124" i="11"/>
  <c r="H124" i="11"/>
  <c r="F124" i="11"/>
  <c r="E124" i="11"/>
  <c r="D124" i="11"/>
  <c r="C124" i="11"/>
  <c r="P126" i="10"/>
  <c r="O126" i="10"/>
  <c r="M126" i="10"/>
  <c r="L126" i="10"/>
  <c r="K126" i="10"/>
  <c r="J126" i="10"/>
  <c r="I126" i="10"/>
  <c r="H126" i="10"/>
  <c r="E126" i="10"/>
  <c r="D126" i="10"/>
  <c r="C126" i="10"/>
  <c r="P124" i="10"/>
  <c r="O124" i="10"/>
  <c r="M124" i="10"/>
  <c r="L124" i="10"/>
  <c r="K124" i="10"/>
  <c r="J124" i="10"/>
  <c r="I124" i="10"/>
  <c r="H124" i="10"/>
  <c r="E124" i="10"/>
  <c r="D124" i="10"/>
  <c r="C124" i="10"/>
  <c r="K126" i="9"/>
  <c r="I126" i="9"/>
  <c r="H126" i="9"/>
  <c r="G126" i="9"/>
  <c r="F126" i="9"/>
  <c r="E126" i="9"/>
  <c r="D126" i="9"/>
  <c r="C126" i="9"/>
  <c r="K124" i="9"/>
  <c r="I124" i="9"/>
  <c r="H124" i="9"/>
  <c r="G124" i="9"/>
  <c r="F124" i="9"/>
  <c r="E124" i="9"/>
  <c r="D124" i="9"/>
  <c r="C124" i="9"/>
  <c r="N126" i="8"/>
  <c r="M126" i="8"/>
  <c r="L126" i="8"/>
  <c r="K126" i="8"/>
  <c r="H126" i="8"/>
  <c r="G126" i="8"/>
  <c r="N124" i="8"/>
  <c r="M124" i="8"/>
  <c r="L124" i="8"/>
  <c r="K124" i="8"/>
  <c r="H124" i="8"/>
  <c r="G124" i="8"/>
  <c r="C124" i="8"/>
  <c r="C126" i="8"/>
  <c r="E124" i="8"/>
  <c r="E126" i="8"/>
  <c r="R117" i="10" l="1"/>
  <c r="J23" i="1"/>
  <c r="I23" i="1"/>
  <c r="H23" i="1"/>
  <c r="G23" i="1"/>
  <c r="F23" i="1"/>
  <c r="E23" i="1"/>
  <c r="D23" i="1"/>
  <c r="C23" i="1"/>
  <c r="B23" i="1"/>
  <c r="Q92" i="8" l="1"/>
  <c r="R92" i="10"/>
  <c r="R92" i="11"/>
  <c r="J92" i="13"/>
  <c r="I92" i="16"/>
  <c r="D78" i="15" l="1"/>
  <c r="E12" i="1" l="1"/>
  <c r="E10" i="1"/>
  <c r="E8" i="1"/>
  <c r="D10" i="1"/>
  <c r="J29" i="1"/>
  <c r="J28" i="1"/>
  <c r="J27" i="1"/>
  <c r="I29" i="1"/>
  <c r="I28" i="1"/>
  <c r="I27" i="1"/>
  <c r="H29" i="1"/>
  <c r="H28" i="1"/>
  <c r="H27" i="1"/>
  <c r="G29" i="1"/>
  <c r="G28" i="1"/>
  <c r="G27" i="1"/>
  <c r="F29" i="1"/>
  <c r="F28" i="1"/>
  <c r="F27" i="1"/>
  <c r="E29" i="1"/>
  <c r="E28" i="1"/>
  <c r="E27" i="1"/>
  <c r="D29" i="1"/>
  <c r="D28" i="1"/>
  <c r="D27" i="1"/>
  <c r="C29" i="1"/>
  <c r="C28" i="1"/>
  <c r="C27" i="1"/>
  <c r="B29" i="1"/>
  <c r="B28" i="1"/>
  <c r="B27" i="1"/>
  <c r="J25" i="1"/>
  <c r="I25" i="1"/>
  <c r="H25" i="1"/>
  <c r="G25" i="1"/>
  <c r="F25" i="1"/>
  <c r="E25" i="1"/>
  <c r="D25" i="1"/>
  <c r="C25" i="1"/>
  <c r="B25" i="1"/>
  <c r="J12" i="1"/>
  <c r="I12" i="1"/>
  <c r="H12" i="1"/>
  <c r="G12" i="1"/>
  <c r="F12" i="1"/>
  <c r="D12" i="1"/>
  <c r="C12" i="1"/>
  <c r="J10" i="1"/>
  <c r="I10" i="1"/>
  <c r="H10" i="1"/>
  <c r="G10" i="1"/>
  <c r="F10" i="1"/>
  <c r="C10" i="1"/>
  <c r="J8" i="1"/>
  <c r="I8" i="1"/>
  <c r="H8" i="1"/>
  <c r="G8" i="1"/>
  <c r="F8" i="1"/>
  <c r="D8" i="1"/>
  <c r="C8" i="1"/>
  <c r="K6" i="1"/>
  <c r="K5" i="1"/>
  <c r="H140" i="16"/>
  <c r="H139" i="16"/>
  <c r="H138" i="16"/>
  <c r="I117" i="16"/>
  <c r="I112" i="16"/>
  <c r="I111" i="16"/>
  <c r="I106" i="16"/>
  <c r="I105" i="16"/>
  <c r="I104" i="16"/>
  <c r="I103" i="16"/>
  <c r="I102" i="16"/>
  <c r="I101" i="16"/>
  <c r="I100" i="16"/>
  <c r="I99" i="16"/>
  <c r="I91" i="16"/>
  <c r="I90" i="16"/>
  <c r="I89" i="16"/>
  <c r="I88" i="16"/>
  <c r="I86" i="16"/>
  <c r="I85" i="16"/>
  <c r="I84" i="16"/>
  <c r="I83" i="16"/>
  <c r="I82" i="16"/>
  <c r="E78" i="16"/>
  <c r="C78" i="16"/>
  <c r="F64" i="16"/>
  <c r="E64" i="16"/>
  <c r="D64" i="16"/>
  <c r="H64" i="16" s="1"/>
  <c r="H63" i="16"/>
  <c r="H62" i="16"/>
  <c r="H60" i="16"/>
  <c r="I53" i="16"/>
  <c r="F51" i="16"/>
  <c r="F65" i="16" s="1"/>
  <c r="E51" i="16"/>
  <c r="D51" i="16"/>
  <c r="D65" i="16" s="1"/>
  <c r="C51" i="16"/>
  <c r="C65" i="16" s="1"/>
  <c r="I34" i="16"/>
  <c r="I33" i="16"/>
  <c r="F31" i="16"/>
  <c r="E31" i="16"/>
  <c r="D31" i="16"/>
  <c r="C31" i="16"/>
  <c r="I30" i="16"/>
  <c r="I29" i="16"/>
  <c r="I28" i="16"/>
  <c r="I13" i="16"/>
  <c r="I12" i="16"/>
  <c r="I11" i="16"/>
  <c r="H140" i="15"/>
  <c r="H139" i="15"/>
  <c r="H138" i="15"/>
  <c r="H136" i="15"/>
  <c r="I117" i="15"/>
  <c r="I112" i="15"/>
  <c r="I111" i="15"/>
  <c r="I106" i="15"/>
  <c r="I105" i="15"/>
  <c r="I104" i="15"/>
  <c r="I103" i="15"/>
  <c r="I102" i="15"/>
  <c r="I101" i="15"/>
  <c r="I100" i="15"/>
  <c r="I99" i="15"/>
  <c r="G129" i="15"/>
  <c r="I92" i="15"/>
  <c r="I91" i="15"/>
  <c r="I90" i="15"/>
  <c r="I89" i="15"/>
  <c r="I88" i="15"/>
  <c r="I87" i="15"/>
  <c r="I86" i="15"/>
  <c r="I85" i="15"/>
  <c r="I84" i="15"/>
  <c r="I83" i="15"/>
  <c r="I82" i="15"/>
  <c r="G78" i="15"/>
  <c r="F78" i="15"/>
  <c r="E78" i="15"/>
  <c r="C78" i="15"/>
  <c r="G64" i="15"/>
  <c r="F64" i="15"/>
  <c r="E64" i="15"/>
  <c r="D64" i="15"/>
  <c r="H63" i="15"/>
  <c r="H62" i="15"/>
  <c r="H60" i="15"/>
  <c r="I53" i="15"/>
  <c r="G51" i="15"/>
  <c r="F51" i="15"/>
  <c r="F65" i="15" s="1"/>
  <c r="E51" i="15"/>
  <c r="E65" i="15" s="1"/>
  <c r="C51" i="15"/>
  <c r="C65" i="15" s="1"/>
  <c r="I34" i="15"/>
  <c r="I33" i="15"/>
  <c r="G31" i="15"/>
  <c r="E31" i="15"/>
  <c r="C31" i="15"/>
  <c r="I30" i="15"/>
  <c r="I29" i="15"/>
  <c r="I28" i="15"/>
  <c r="I13" i="15"/>
  <c r="I12" i="15"/>
  <c r="I11" i="15"/>
  <c r="G9" i="15"/>
  <c r="G66" i="15" s="1"/>
  <c r="F9" i="15"/>
  <c r="E9" i="15"/>
  <c r="D9" i="15"/>
  <c r="C9" i="15"/>
  <c r="I8" i="15"/>
  <c r="G140" i="14"/>
  <c r="G139" i="14"/>
  <c r="G138" i="14"/>
  <c r="G136" i="14"/>
  <c r="H117" i="14"/>
  <c r="H112" i="14"/>
  <c r="H111" i="14"/>
  <c r="H106" i="14"/>
  <c r="H105" i="14"/>
  <c r="H104" i="14"/>
  <c r="H102" i="14"/>
  <c r="H101" i="14"/>
  <c r="H100" i="14"/>
  <c r="H99" i="14"/>
  <c r="H86" i="14"/>
  <c r="H85" i="14"/>
  <c r="H84" i="14"/>
  <c r="H83" i="14"/>
  <c r="H82" i="14"/>
  <c r="F78" i="14"/>
  <c r="E78" i="14"/>
  <c r="D78" i="14"/>
  <c r="C78" i="14"/>
  <c r="G63" i="14"/>
  <c r="G62" i="14"/>
  <c r="G60" i="14"/>
  <c r="H53" i="14"/>
  <c r="D51" i="14"/>
  <c r="D65" i="14" s="1"/>
  <c r="C51" i="14"/>
  <c r="C65" i="14" s="1"/>
  <c r="H34" i="14"/>
  <c r="H33" i="14"/>
  <c r="D31" i="14"/>
  <c r="C31" i="14"/>
  <c r="H30" i="14"/>
  <c r="H29" i="14"/>
  <c r="H28" i="14"/>
  <c r="H13" i="14"/>
  <c r="H12" i="14"/>
  <c r="H11" i="14"/>
  <c r="D9" i="14"/>
  <c r="C9" i="14"/>
  <c r="H8" i="14"/>
  <c r="I140" i="13"/>
  <c r="I139" i="13"/>
  <c r="I138" i="13"/>
  <c r="I136" i="13"/>
  <c r="J117" i="13"/>
  <c r="J112" i="13"/>
  <c r="J111" i="13"/>
  <c r="J106" i="13"/>
  <c r="J105" i="13"/>
  <c r="J104" i="13"/>
  <c r="J103" i="13"/>
  <c r="J102" i="13"/>
  <c r="J101" i="13"/>
  <c r="J100" i="13"/>
  <c r="J99" i="13"/>
  <c r="D129" i="13"/>
  <c r="C129" i="13"/>
  <c r="J91" i="13"/>
  <c r="J90" i="13"/>
  <c r="J89" i="13"/>
  <c r="J88" i="13"/>
  <c r="J87" i="13"/>
  <c r="J86" i="13"/>
  <c r="J85" i="13"/>
  <c r="J84" i="13"/>
  <c r="J83" i="13"/>
  <c r="J82" i="13"/>
  <c r="H78" i="13"/>
  <c r="G78" i="13"/>
  <c r="F78" i="13"/>
  <c r="E78" i="13"/>
  <c r="D78" i="13"/>
  <c r="C78" i="13"/>
  <c r="I64" i="13"/>
  <c r="I63" i="13"/>
  <c r="I60" i="13"/>
  <c r="J53" i="13"/>
  <c r="H51" i="13"/>
  <c r="H65" i="13" s="1"/>
  <c r="G51" i="13"/>
  <c r="G65" i="13" s="1"/>
  <c r="F51" i="13"/>
  <c r="F65" i="13" s="1"/>
  <c r="E51" i="13"/>
  <c r="E65" i="13" s="1"/>
  <c r="D51" i="13"/>
  <c r="D65" i="13" s="1"/>
  <c r="C51" i="13"/>
  <c r="J34" i="13"/>
  <c r="J33" i="13"/>
  <c r="H31" i="13"/>
  <c r="G31" i="13"/>
  <c r="F31" i="13"/>
  <c r="E31" i="13"/>
  <c r="D31" i="13"/>
  <c r="C31" i="13"/>
  <c r="J30" i="13"/>
  <c r="J29" i="13"/>
  <c r="J28" i="13"/>
  <c r="J13" i="13"/>
  <c r="J12" i="13"/>
  <c r="J11" i="13"/>
  <c r="H9" i="13"/>
  <c r="F9" i="13"/>
  <c r="E9" i="13"/>
  <c r="D9" i="13"/>
  <c r="C9" i="13"/>
  <c r="J8" i="13"/>
  <c r="K140" i="12"/>
  <c r="K139" i="12"/>
  <c r="K138" i="12"/>
  <c r="K136" i="12"/>
  <c r="L117" i="12"/>
  <c r="D118" i="12"/>
  <c r="L111" i="12"/>
  <c r="E119" i="12"/>
  <c r="I129" i="12"/>
  <c r="F129" i="12"/>
  <c r="D129" i="12"/>
  <c r="C129" i="12"/>
  <c r="I78" i="12"/>
  <c r="H78" i="12"/>
  <c r="G78" i="12"/>
  <c r="F78" i="12"/>
  <c r="E78" i="12"/>
  <c r="D78" i="12"/>
  <c r="C78" i="12"/>
  <c r="I64" i="12"/>
  <c r="H64" i="12"/>
  <c r="G64" i="12"/>
  <c r="F64" i="12"/>
  <c r="E64" i="12"/>
  <c r="D64" i="12"/>
  <c r="C64" i="12"/>
  <c r="K63" i="12"/>
  <c r="K62" i="12"/>
  <c r="K60" i="12"/>
  <c r="I51" i="12"/>
  <c r="I65" i="12" s="1"/>
  <c r="H51" i="12"/>
  <c r="H65" i="12" s="1"/>
  <c r="G51" i="12"/>
  <c r="F51" i="12"/>
  <c r="D51" i="12"/>
  <c r="D65" i="12" s="1"/>
  <c r="C51" i="12"/>
  <c r="E51" i="12"/>
  <c r="E65" i="12" s="1"/>
  <c r="I31" i="12"/>
  <c r="H31" i="12"/>
  <c r="G31" i="12"/>
  <c r="F31" i="12"/>
  <c r="D31" i="12"/>
  <c r="C31" i="12"/>
  <c r="E31" i="12"/>
  <c r="I9" i="12"/>
  <c r="H9" i="12"/>
  <c r="G9" i="12"/>
  <c r="F9" i="12"/>
  <c r="E9" i="12"/>
  <c r="D9" i="12"/>
  <c r="C9" i="12"/>
  <c r="Q140" i="11"/>
  <c r="Q139" i="11"/>
  <c r="Q138" i="11"/>
  <c r="Q136" i="11"/>
  <c r="R112" i="11"/>
  <c r="R111" i="11"/>
  <c r="R105" i="11"/>
  <c r="R104" i="11"/>
  <c r="R103" i="11"/>
  <c r="R102" i="11"/>
  <c r="R101" i="11"/>
  <c r="R99" i="11"/>
  <c r="C129" i="11"/>
  <c r="N129" i="11"/>
  <c r="L129" i="11"/>
  <c r="K129" i="11"/>
  <c r="F129" i="11"/>
  <c r="D129" i="11"/>
  <c r="R89" i="11"/>
  <c r="R88" i="11"/>
  <c r="R87" i="11"/>
  <c r="R86" i="11"/>
  <c r="R85" i="11"/>
  <c r="R82" i="11"/>
  <c r="N78" i="11"/>
  <c r="M78" i="11"/>
  <c r="L78" i="11"/>
  <c r="K78" i="11"/>
  <c r="J78" i="11"/>
  <c r="I78" i="11"/>
  <c r="H78" i="11"/>
  <c r="F78" i="11"/>
  <c r="E78" i="11"/>
  <c r="D78" i="11"/>
  <c r="C78" i="11"/>
  <c r="N64" i="11"/>
  <c r="M64" i="11"/>
  <c r="L64" i="11"/>
  <c r="K64" i="11"/>
  <c r="J64" i="11"/>
  <c r="I64" i="11"/>
  <c r="H64" i="11"/>
  <c r="F64" i="11"/>
  <c r="E64" i="11"/>
  <c r="D64" i="11"/>
  <c r="C64" i="11"/>
  <c r="Q63" i="11"/>
  <c r="Q62" i="11"/>
  <c r="Q60" i="11"/>
  <c r="R53" i="11"/>
  <c r="N51" i="11"/>
  <c r="M51" i="11"/>
  <c r="L51" i="11"/>
  <c r="K51" i="11"/>
  <c r="J51" i="11"/>
  <c r="I51" i="11"/>
  <c r="H51" i="11"/>
  <c r="F51" i="11"/>
  <c r="E51" i="11"/>
  <c r="D51" i="11"/>
  <c r="R34" i="11"/>
  <c r="R33" i="11"/>
  <c r="N31" i="11"/>
  <c r="M31" i="11"/>
  <c r="L31" i="11"/>
  <c r="K31" i="11"/>
  <c r="J31" i="11"/>
  <c r="I31" i="11"/>
  <c r="H31" i="11"/>
  <c r="F31" i="11"/>
  <c r="E31" i="11"/>
  <c r="D31" i="11"/>
  <c r="C31" i="11"/>
  <c r="R30" i="11"/>
  <c r="R29" i="11"/>
  <c r="R28" i="11"/>
  <c r="R13" i="11"/>
  <c r="R12" i="11"/>
  <c r="R11" i="11"/>
  <c r="N9" i="11"/>
  <c r="M9" i="11"/>
  <c r="L9" i="11"/>
  <c r="K9" i="11"/>
  <c r="J9" i="11"/>
  <c r="I9" i="11"/>
  <c r="H9" i="11"/>
  <c r="F9" i="11"/>
  <c r="E9" i="11"/>
  <c r="D9" i="11"/>
  <c r="C9" i="11"/>
  <c r="R8" i="11"/>
  <c r="Q140" i="10"/>
  <c r="Q139" i="10"/>
  <c r="Q138" i="10"/>
  <c r="R112" i="10"/>
  <c r="R111" i="10"/>
  <c r="R106" i="10"/>
  <c r="R105" i="10"/>
  <c r="R104" i="10"/>
  <c r="R103" i="10"/>
  <c r="R102" i="10"/>
  <c r="R101" i="10"/>
  <c r="R99" i="10"/>
  <c r="H129" i="10"/>
  <c r="K129" i="10"/>
  <c r="I129" i="10"/>
  <c r="E129" i="10"/>
  <c r="C129" i="10"/>
  <c r="R91" i="10"/>
  <c r="R90" i="10"/>
  <c r="R89" i="10"/>
  <c r="R88" i="10"/>
  <c r="R87" i="10"/>
  <c r="R86" i="10"/>
  <c r="R85" i="10"/>
  <c r="R82" i="10"/>
  <c r="P78" i="10"/>
  <c r="O78" i="10"/>
  <c r="N78" i="10"/>
  <c r="M78" i="10"/>
  <c r="L78" i="10"/>
  <c r="K78" i="10"/>
  <c r="J78" i="10"/>
  <c r="I78" i="10"/>
  <c r="H78" i="10"/>
  <c r="F78" i="10"/>
  <c r="E78" i="10"/>
  <c r="D78" i="10"/>
  <c r="C78" i="10"/>
  <c r="P64" i="10"/>
  <c r="O64" i="10"/>
  <c r="M64" i="10"/>
  <c r="L64" i="10"/>
  <c r="K64" i="10"/>
  <c r="J64" i="10"/>
  <c r="I64" i="10"/>
  <c r="H64" i="10"/>
  <c r="E64" i="10"/>
  <c r="D64" i="10"/>
  <c r="C64" i="10"/>
  <c r="Q63" i="10"/>
  <c r="Q62" i="10"/>
  <c r="Q60" i="10"/>
  <c r="R53" i="10"/>
  <c r="P51" i="10"/>
  <c r="P65" i="10" s="1"/>
  <c r="O51" i="10"/>
  <c r="O65" i="10" s="1"/>
  <c r="M51" i="10"/>
  <c r="M65" i="10" s="1"/>
  <c r="L51" i="10"/>
  <c r="L65" i="10" s="1"/>
  <c r="K51" i="10"/>
  <c r="K65" i="10" s="1"/>
  <c r="J51" i="10"/>
  <c r="J65" i="10" s="1"/>
  <c r="I51" i="10"/>
  <c r="H51" i="10"/>
  <c r="H65" i="10" s="1"/>
  <c r="E65" i="10"/>
  <c r="D51" i="10"/>
  <c r="D65" i="10" s="1"/>
  <c r="C51" i="10"/>
  <c r="R34" i="10"/>
  <c r="R33" i="10"/>
  <c r="P31" i="10"/>
  <c r="O31" i="10"/>
  <c r="M31" i="10"/>
  <c r="L31" i="10"/>
  <c r="K31" i="10"/>
  <c r="J31" i="10"/>
  <c r="I31" i="10"/>
  <c r="H31" i="10"/>
  <c r="E31" i="10"/>
  <c r="D31" i="10"/>
  <c r="R30" i="10"/>
  <c r="R29" i="10"/>
  <c r="R28" i="10"/>
  <c r="R12" i="10"/>
  <c r="R11" i="10"/>
  <c r="P9" i="10"/>
  <c r="O9" i="10"/>
  <c r="M9" i="10"/>
  <c r="L9" i="10"/>
  <c r="K9" i="10"/>
  <c r="J9" i="10"/>
  <c r="I9" i="10"/>
  <c r="H9" i="10"/>
  <c r="E9" i="10"/>
  <c r="D9" i="10"/>
  <c r="C9" i="10"/>
  <c r="R8" i="10"/>
  <c r="L140" i="9"/>
  <c r="L139" i="9"/>
  <c r="L138" i="9"/>
  <c r="L136" i="9"/>
  <c r="M117" i="9"/>
  <c r="M111" i="9"/>
  <c r="G129" i="9"/>
  <c r="K129" i="9"/>
  <c r="I129" i="9"/>
  <c r="H129" i="9"/>
  <c r="F129" i="9"/>
  <c r="K78" i="9"/>
  <c r="J78" i="9"/>
  <c r="I78" i="9"/>
  <c r="H78" i="9"/>
  <c r="G78" i="9"/>
  <c r="E78" i="9"/>
  <c r="D78" i="9"/>
  <c r="C78" i="9"/>
  <c r="L63" i="9"/>
  <c r="L62" i="9"/>
  <c r="L60" i="9"/>
  <c r="K51" i="9"/>
  <c r="K65" i="9" s="1"/>
  <c r="I51" i="9"/>
  <c r="I65" i="9" s="1"/>
  <c r="H51" i="9"/>
  <c r="H65" i="9" s="1"/>
  <c r="F51" i="9"/>
  <c r="F65" i="9" s="1"/>
  <c r="E51" i="9"/>
  <c r="E65" i="9" s="1"/>
  <c r="D51" i="9"/>
  <c r="D65" i="9" s="1"/>
  <c r="C51" i="9"/>
  <c r="M34" i="9"/>
  <c r="M33" i="9"/>
  <c r="K31" i="9"/>
  <c r="I31" i="9"/>
  <c r="H31" i="9"/>
  <c r="G31" i="9"/>
  <c r="F31" i="9"/>
  <c r="E31" i="9"/>
  <c r="D31" i="9"/>
  <c r="C31" i="9"/>
  <c r="M30" i="9"/>
  <c r="M29" i="9"/>
  <c r="M28" i="9"/>
  <c r="M13" i="9"/>
  <c r="K9" i="9"/>
  <c r="I9" i="9"/>
  <c r="H9" i="9"/>
  <c r="G9" i="9"/>
  <c r="F9" i="9"/>
  <c r="E9" i="9"/>
  <c r="D9" i="9"/>
  <c r="C9" i="9"/>
  <c r="O140" i="8"/>
  <c r="O139" i="8"/>
  <c r="O138" i="8"/>
  <c r="O136" i="8"/>
  <c r="Q117" i="8"/>
  <c r="Q112" i="8"/>
  <c r="Q106" i="8"/>
  <c r="Q105" i="8"/>
  <c r="Q104" i="8"/>
  <c r="Q103" i="8"/>
  <c r="Q102" i="8"/>
  <c r="Q101" i="8"/>
  <c r="Q99" i="8"/>
  <c r="Q91" i="8"/>
  <c r="Q90" i="8"/>
  <c r="Q89" i="8"/>
  <c r="Q88" i="8"/>
  <c r="Q87" i="8"/>
  <c r="Q86" i="8"/>
  <c r="Q85" i="8"/>
  <c r="Q82" i="8"/>
  <c r="N78" i="8"/>
  <c r="M78" i="8"/>
  <c r="L78" i="8"/>
  <c r="K78" i="8"/>
  <c r="J78" i="8"/>
  <c r="I78" i="8"/>
  <c r="H78" i="8"/>
  <c r="G78" i="8"/>
  <c r="F78" i="8"/>
  <c r="E78" i="8"/>
  <c r="D78" i="8"/>
  <c r="C78" i="8"/>
  <c r="Q53" i="8"/>
  <c r="N51" i="8"/>
  <c r="N65" i="8" s="1"/>
  <c r="M51" i="8"/>
  <c r="M65" i="8" s="1"/>
  <c r="L51" i="8"/>
  <c r="K51" i="8"/>
  <c r="K65" i="8" s="1"/>
  <c r="I51" i="8"/>
  <c r="I65" i="8" s="1"/>
  <c r="H51" i="8"/>
  <c r="H65" i="8" s="1"/>
  <c r="G51" i="8"/>
  <c r="G65" i="8" s="1"/>
  <c r="F51" i="8"/>
  <c r="F65" i="8" s="1"/>
  <c r="E51" i="8"/>
  <c r="E65" i="8" s="1"/>
  <c r="D51" i="8"/>
  <c r="D65" i="8" s="1"/>
  <c r="C51" i="8"/>
  <c r="Q34" i="8"/>
  <c r="Q33" i="8"/>
  <c r="N31" i="8"/>
  <c r="M31" i="8"/>
  <c r="L31" i="8"/>
  <c r="K31" i="8"/>
  <c r="H31" i="8"/>
  <c r="G31" i="8"/>
  <c r="F31" i="8"/>
  <c r="E31" i="8"/>
  <c r="D31" i="8"/>
  <c r="C31" i="8"/>
  <c r="Q29" i="8"/>
  <c r="Q28" i="8"/>
  <c r="Q12" i="8"/>
  <c r="Q11" i="8"/>
  <c r="N9" i="8"/>
  <c r="M9" i="8"/>
  <c r="L9" i="8"/>
  <c r="K9" i="8"/>
  <c r="I9" i="8"/>
  <c r="H9" i="8"/>
  <c r="G9" i="8"/>
  <c r="F9" i="8"/>
  <c r="E9" i="8"/>
  <c r="D9" i="8"/>
  <c r="C9" i="8"/>
  <c r="Q8" i="8"/>
  <c r="N66" i="8" l="1"/>
  <c r="L51" i="12"/>
  <c r="C66" i="12"/>
  <c r="L9" i="12"/>
  <c r="D66" i="9"/>
  <c r="G66" i="8"/>
  <c r="H66" i="8"/>
  <c r="H66" i="9"/>
  <c r="K55" i="9"/>
  <c r="K122" i="9" s="1"/>
  <c r="K56" i="9"/>
  <c r="K57" i="9"/>
  <c r="K58" i="9"/>
  <c r="K67" i="9" s="1"/>
  <c r="K66" i="9"/>
  <c r="D66" i="13"/>
  <c r="K55" i="8"/>
  <c r="K122" i="8" s="1"/>
  <c r="K56" i="8"/>
  <c r="K57" i="8"/>
  <c r="K58" i="8"/>
  <c r="K67" i="8" s="1"/>
  <c r="K66" i="8"/>
  <c r="D55" i="13"/>
  <c r="D122" i="13" s="1"/>
  <c r="D57" i="13"/>
  <c r="D56" i="13"/>
  <c r="D58" i="13"/>
  <c r="D66" i="15"/>
  <c r="E66" i="16"/>
  <c r="E57" i="16"/>
  <c r="E56" i="16"/>
  <c r="E55" i="16"/>
  <c r="E122" i="16" s="1"/>
  <c r="E58" i="16"/>
  <c r="E67" i="16" s="1"/>
  <c r="G56" i="15"/>
  <c r="G57" i="15"/>
  <c r="G55" i="15"/>
  <c r="G58" i="15"/>
  <c r="G67" i="15" s="1"/>
  <c r="N55" i="8"/>
  <c r="N122" i="8" s="1"/>
  <c r="N56" i="8"/>
  <c r="N58" i="8"/>
  <c r="N67" i="8" s="1"/>
  <c r="N57" i="8"/>
  <c r="C56" i="13"/>
  <c r="C55" i="13"/>
  <c r="C122" i="13" s="1"/>
  <c r="C57" i="13"/>
  <c r="C58" i="13"/>
  <c r="C67" i="13" s="1"/>
  <c r="C66" i="13"/>
  <c r="H57" i="12"/>
  <c r="H58" i="12"/>
  <c r="H67" i="12" s="1"/>
  <c r="H56" i="12"/>
  <c r="H55" i="12"/>
  <c r="H122" i="12" s="1"/>
  <c r="H66" i="12"/>
  <c r="F56" i="12"/>
  <c r="F58" i="12"/>
  <c r="F57" i="12"/>
  <c r="F55" i="12"/>
  <c r="F122" i="12" s="1"/>
  <c r="F66" i="12"/>
  <c r="H57" i="10"/>
  <c r="H56" i="10"/>
  <c r="H55" i="10"/>
  <c r="H122" i="10" s="1"/>
  <c r="H58" i="10"/>
  <c r="H67" i="10" s="1"/>
  <c r="H66" i="10"/>
  <c r="C66" i="14"/>
  <c r="C58" i="14"/>
  <c r="C57" i="14"/>
  <c r="C56" i="14"/>
  <c r="C55" i="14"/>
  <c r="C122" i="14" s="1"/>
  <c r="I57" i="9"/>
  <c r="I58" i="9"/>
  <c r="I56" i="9"/>
  <c r="I55" i="9"/>
  <c r="I66" i="9"/>
  <c r="L66" i="8"/>
  <c r="L56" i="8"/>
  <c r="L58" i="8"/>
  <c r="L67" i="8" s="1"/>
  <c r="L55" i="8"/>
  <c r="L122" i="8" s="1"/>
  <c r="L57" i="8"/>
  <c r="C55" i="8"/>
  <c r="C56" i="8"/>
  <c r="C57" i="8"/>
  <c r="C58" i="8"/>
  <c r="C66" i="8"/>
  <c r="F66" i="13"/>
  <c r="F55" i="13"/>
  <c r="F122" i="13" s="1"/>
  <c r="F56" i="13"/>
  <c r="F58" i="13"/>
  <c r="F67" i="13" s="1"/>
  <c r="F57" i="13"/>
  <c r="C56" i="15"/>
  <c r="C57" i="15"/>
  <c r="C58" i="15"/>
  <c r="C67" i="15" s="1"/>
  <c r="C55" i="15"/>
  <c r="C122" i="15" s="1"/>
  <c r="C66" i="15"/>
  <c r="E66" i="15"/>
  <c r="E57" i="15"/>
  <c r="E55" i="15"/>
  <c r="E58" i="15"/>
  <c r="E67" i="15" s="1"/>
  <c r="E56" i="15"/>
  <c r="F66" i="16"/>
  <c r="F56" i="16"/>
  <c r="F55" i="16"/>
  <c r="F122" i="16" s="1"/>
  <c r="F58" i="16"/>
  <c r="F67" i="16" s="1"/>
  <c r="F57" i="16"/>
  <c r="M66" i="8"/>
  <c r="M58" i="8"/>
  <c r="M55" i="8"/>
  <c r="M122" i="8" s="1"/>
  <c r="M57" i="8"/>
  <c r="M56" i="8"/>
  <c r="F58" i="8"/>
  <c r="F67" i="8" s="1"/>
  <c r="F55" i="8"/>
  <c r="F122" i="8" s="1"/>
  <c r="F57" i="8"/>
  <c r="F56" i="8"/>
  <c r="F66" i="8"/>
  <c r="E66" i="13"/>
  <c r="E57" i="13"/>
  <c r="E56" i="13"/>
  <c r="E55" i="13"/>
  <c r="E122" i="13" s="1"/>
  <c r="E58" i="13"/>
  <c r="E67" i="13" s="1"/>
  <c r="F56" i="9"/>
  <c r="F57" i="9"/>
  <c r="F58" i="9"/>
  <c r="F55" i="9"/>
  <c r="F66" i="9"/>
  <c r="E57" i="9"/>
  <c r="E58" i="9"/>
  <c r="E67" i="9" s="1"/>
  <c r="E56" i="9"/>
  <c r="E55" i="9"/>
  <c r="E122" i="9" s="1"/>
  <c r="E66" i="9"/>
  <c r="L66" i="10"/>
  <c r="L57" i="10"/>
  <c r="L56" i="10"/>
  <c r="L58" i="10"/>
  <c r="L67" i="10" s="1"/>
  <c r="L55" i="10"/>
  <c r="D58" i="9"/>
  <c r="D57" i="9"/>
  <c r="D55" i="9"/>
  <c r="D122" i="9" s="1"/>
  <c r="D56" i="9"/>
  <c r="D66" i="8"/>
  <c r="D58" i="8"/>
  <c r="D67" i="8" s="1"/>
  <c r="D55" i="8"/>
  <c r="D122" i="8" s="1"/>
  <c r="D56" i="8"/>
  <c r="D57" i="8"/>
  <c r="J57" i="10"/>
  <c r="J55" i="10"/>
  <c r="J122" i="10" s="1"/>
  <c r="J56" i="10"/>
  <c r="J58" i="10"/>
  <c r="J67" i="10" s="1"/>
  <c r="J66" i="10"/>
  <c r="G58" i="12"/>
  <c r="G67" i="12" s="1"/>
  <c r="G57" i="12"/>
  <c r="G56" i="12"/>
  <c r="G55" i="12"/>
  <c r="G66" i="12"/>
  <c r="D58" i="16"/>
  <c r="D67" i="16" s="1"/>
  <c r="D55" i="16"/>
  <c r="D122" i="16" s="1"/>
  <c r="D57" i="16"/>
  <c r="D66" i="16"/>
  <c r="D56" i="16"/>
  <c r="H57" i="9"/>
  <c r="H55" i="9"/>
  <c r="H122" i="9" s="1"/>
  <c r="H56" i="9"/>
  <c r="H58" i="9"/>
  <c r="H67" i="9" s="1"/>
  <c r="I66" i="12"/>
  <c r="I56" i="12"/>
  <c r="I57" i="12"/>
  <c r="I55" i="12"/>
  <c r="I122" i="12" s="1"/>
  <c r="I58" i="12"/>
  <c r="I67" i="12" s="1"/>
  <c r="D66" i="14"/>
  <c r="D57" i="14"/>
  <c r="D56" i="14"/>
  <c r="D58" i="14"/>
  <c r="D67" i="14" s="1"/>
  <c r="D55" i="14"/>
  <c r="E66" i="10"/>
  <c r="E57" i="10"/>
  <c r="E56" i="10"/>
  <c r="E58" i="10"/>
  <c r="E67" i="10" s="1"/>
  <c r="E55" i="10"/>
  <c r="E122" i="10" s="1"/>
  <c r="E57" i="8"/>
  <c r="E58" i="8"/>
  <c r="E67" i="8" s="1"/>
  <c r="E55" i="8"/>
  <c r="E122" i="8" s="1"/>
  <c r="E56" i="8"/>
  <c r="E66" i="8"/>
  <c r="K55" i="10"/>
  <c r="K58" i="10"/>
  <c r="K67" i="10" s="1"/>
  <c r="K56" i="10"/>
  <c r="K57" i="10"/>
  <c r="K66" i="10"/>
  <c r="G66" i="13"/>
  <c r="G57" i="13"/>
  <c r="G58" i="13"/>
  <c r="G67" i="13" s="1"/>
  <c r="G56" i="13"/>
  <c r="G55" i="13"/>
  <c r="G122" i="13" s="1"/>
  <c r="C66" i="9"/>
  <c r="C56" i="9"/>
  <c r="C55" i="9"/>
  <c r="C122" i="9" s="1"/>
  <c r="C58" i="9"/>
  <c r="C67" i="9" s="1"/>
  <c r="C57" i="9"/>
  <c r="M55" i="10"/>
  <c r="M56" i="10"/>
  <c r="M57" i="10"/>
  <c r="M58" i="10"/>
  <c r="M66" i="10"/>
  <c r="C58" i="16"/>
  <c r="C57" i="16"/>
  <c r="C56" i="16"/>
  <c r="C55" i="16"/>
  <c r="C66" i="16"/>
  <c r="D66" i="12"/>
  <c r="D56" i="12"/>
  <c r="D58" i="12"/>
  <c r="D67" i="12" s="1"/>
  <c r="D57" i="12"/>
  <c r="D55" i="12"/>
  <c r="D122" i="12" s="1"/>
  <c r="E56" i="12"/>
  <c r="E58" i="12"/>
  <c r="E55" i="12"/>
  <c r="E122" i="12" s="1"/>
  <c r="E57" i="12"/>
  <c r="E66" i="12"/>
  <c r="C57" i="12"/>
  <c r="C56" i="12"/>
  <c r="C58" i="12"/>
  <c r="C67" i="12" s="1"/>
  <c r="C55" i="12"/>
  <c r="C122" i="12" s="1"/>
  <c r="C58" i="11"/>
  <c r="C67" i="11" s="1"/>
  <c r="C55" i="11"/>
  <c r="C122" i="11" s="1"/>
  <c r="C57" i="11"/>
  <c r="C56" i="11"/>
  <c r="C66" i="11"/>
  <c r="D56" i="10"/>
  <c r="D58" i="10"/>
  <c r="D67" i="10" s="1"/>
  <c r="D55" i="10"/>
  <c r="D122" i="10" s="1"/>
  <c r="D57" i="10"/>
  <c r="D66" i="10"/>
  <c r="H57" i="8"/>
  <c r="H58" i="8"/>
  <c r="H67" i="8" s="1"/>
  <c r="H55" i="8"/>
  <c r="H122" i="8" s="1"/>
  <c r="H56" i="8"/>
  <c r="H66" i="13"/>
  <c r="H56" i="13"/>
  <c r="H55" i="13"/>
  <c r="H122" i="13" s="1"/>
  <c r="H58" i="13"/>
  <c r="H67" i="13" s="1"/>
  <c r="H57" i="13"/>
  <c r="I66" i="10"/>
  <c r="I55" i="10"/>
  <c r="I122" i="10" s="1"/>
  <c r="I56" i="10"/>
  <c r="I57" i="10"/>
  <c r="I58" i="10"/>
  <c r="I67" i="10" s="1"/>
  <c r="O56" i="10"/>
  <c r="O57" i="10"/>
  <c r="O58" i="10"/>
  <c r="O55" i="10"/>
  <c r="O122" i="10" s="1"/>
  <c r="O66" i="10"/>
  <c r="G57" i="8"/>
  <c r="G55" i="8"/>
  <c r="G122" i="8" s="1"/>
  <c r="G56" i="8"/>
  <c r="G58" i="8"/>
  <c r="G67" i="8" s="1"/>
  <c r="P55" i="10"/>
  <c r="P122" i="10" s="1"/>
  <c r="P56" i="10"/>
  <c r="P58" i="10"/>
  <c r="P67" i="10" s="1"/>
  <c r="P57" i="10"/>
  <c r="P66" i="10"/>
  <c r="J65" i="11"/>
  <c r="J66" i="11"/>
  <c r="J56" i="11"/>
  <c r="J58" i="11"/>
  <c r="J67" i="11" s="1"/>
  <c r="J57" i="11"/>
  <c r="J55" i="11"/>
  <c r="D65" i="11"/>
  <c r="D58" i="11"/>
  <c r="D67" i="11" s="1"/>
  <c r="D55" i="11"/>
  <c r="D122" i="11" s="1"/>
  <c r="D56" i="11"/>
  <c r="D57" i="11"/>
  <c r="D66" i="11"/>
  <c r="M65" i="11"/>
  <c r="M55" i="11"/>
  <c r="M56" i="11"/>
  <c r="M57" i="11"/>
  <c r="M66" i="11"/>
  <c r="M58" i="11"/>
  <c r="M67" i="11" s="1"/>
  <c r="L65" i="11"/>
  <c r="L66" i="11"/>
  <c r="L55" i="11"/>
  <c r="L58" i="11"/>
  <c r="L67" i="11" s="1"/>
  <c r="L56" i="11"/>
  <c r="L57" i="11"/>
  <c r="E65" i="11"/>
  <c r="E55" i="11"/>
  <c r="E122" i="11" s="1"/>
  <c r="E56" i="11"/>
  <c r="E58" i="11"/>
  <c r="E66" i="11"/>
  <c r="E57" i="11"/>
  <c r="N65" i="11"/>
  <c r="N56" i="11"/>
  <c r="N57" i="11"/>
  <c r="N66" i="11"/>
  <c r="N58" i="11"/>
  <c r="N67" i="11" s="1"/>
  <c r="N55" i="11"/>
  <c r="N122" i="11" s="1"/>
  <c r="K65" i="11"/>
  <c r="K66" i="11"/>
  <c r="K55" i="11"/>
  <c r="K122" i="11" s="1"/>
  <c r="K57" i="11"/>
  <c r="K56" i="11"/>
  <c r="K58" i="11"/>
  <c r="K67" i="11" s="1"/>
  <c r="F56" i="11"/>
  <c r="F57" i="11"/>
  <c r="F55" i="11"/>
  <c r="F66" i="11"/>
  <c r="F58" i="11"/>
  <c r="F67" i="11" s="1"/>
  <c r="H65" i="11"/>
  <c r="H58" i="11"/>
  <c r="H67" i="11" s="1"/>
  <c r="H55" i="11"/>
  <c r="H122" i="11" s="1"/>
  <c r="H56" i="11"/>
  <c r="H66" i="11"/>
  <c r="H57" i="11"/>
  <c r="I65" i="11"/>
  <c r="I66" i="11"/>
  <c r="I58" i="11"/>
  <c r="I67" i="11" s="1"/>
  <c r="I56" i="11"/>
  <c r="I57" i="11"/>
  <c r="I55" i="11"/>
  <c r="I122" i="11" s="1"/>
  <c r="D129" i="16"/>
  <c r="F129" i="16"/>
  <c r="E129" i="16"/>
  <c r="I110" i="16"/>
  <c r="D129" i="15"/>
  <c r="E129" i="15"/>
  <c r="F129" i="15"/>
  <c r="F129" i="13"/>
  <c r="G129" i="13"/>
  <c r="H129" i="13"/>
  <c r="H129" i="12"/>
  <c r="G129" i="12"/>
  <c r="E129" i="12"/>
  <c r="M129" i="11"/>
  <c r="H129" i="11"/>
  <c r="I129" i="11"/>
  <c r="M129" i="10"/>
  <c r="O129" i="10"/>
  <c r="D129" i="10"/>
  <c r="P129" i="10"/>
  <c r="D129" i="9"/>
  <c r="C129" i="14"/>
  <c r="D129" i="14"/>
  <c r="I118" i="12"/>
  <c r="E118" i="12"/>
  <c r="F118" i="12"/>
  <c r="D133" i="12"/>
  <c r="D131" i="12"/>
  <c r="F126" i="8"/>
  <c r="F124" i="8"/>
  <c r="I126" i="8"/>
  <c r="I124" i="8"/>
  <c r="I30" i="1"/>
  <c r="D126" i="8"/>
  <c r="D124" i="8"/>
  <c r="B10" i="1"/>
  <c r="E118" i="9"/>
  <c r="I67" i="9"/>
  <c r="H30" i="1"/>
  <c r="G30" i="1"/>
  <c r="I9" i="16"/>
  <c r="F31" i="15"/>
  <c r="I15" i="1" s="1"/>
  <c r="H118" i="11"/>
  <c r="E119" i="11"/>
  <c r="E120" i="11" s="1"/>
  <c r="E129" i="11"/>
  <c r="I116" i="16"/>
  <c r="I51" i="16"/>
  <c r="H136" i="16"/>
  <c r="D118" i="15"/>
  <c r="E119" i="15"/>
  <c r="E120" i="15" s="1"/>
  <c r="I113" i="15"/>
  <c r="H115" i="14"/>
  <c r="H113" i="14"/>
  <c r="J51" i="13"/>
  <c r="D118" i="13"/>
  <c r="K30" i="13"/>
  <c r="G118" i="12"/>
  <c r="E16" i="1"/>
  <c r="I118" i="11"/>
  <c r="S30" i="11"/>
  <c r="R106" i="11"/>
  <c r="D16" i="1"/>
  <c r="I30" i="14"/>
  <c r="H15" i="1"/>
  <c r="H16" i="1"/>
  <c r="H31" i="14"/>
  <c r="G119" i="9"/>
  <c r="G120" i="9" s="1"/>
  <c r="D118" i="9"/>
  <c r="M115" i="9"/>
  <c r="K119" i="9"/>
  <c r="K120" i="9" s="1"/>
  <c r="P118" i="10"/>
  <c r="I118" i="10"/>
  <c r="C118" i="10"/>
  <c r="K118" i="10"/>
  <c r="M119" i="10"/>
  <c r="M120" i="10" s="1"/>
  <c r="O119" i="10"/>
  <c r="O120" i="10" s="1"/>
  <c r="F118" i="11"/>
  <c r="N118" i="11"/>
  <c r="N119" i="11"/>
  <c r="N120" i="11" s="1"/>
  <c r="C118" i="12"/>
  <c r="D119" i="12"/>
  <c r="D120" i="12" s="1"/>
  <c r="S30" i="10"/>
  <c r="B30" i="1"/>
  <c r="I119" i="8"/>
  <c r="O60" i="8"/>
  <c r="O62" i="8"/>
  <c r="O63" i="8"/>
  <c r="K119" i="8"/>
  <c r="K120" i="8" s="1"/>
  <c r="B16" i="1"/>
  <c r="H118" i="8"/>
  <c r="H133" i="8" s="1"/>
  <c r="I118" i="8"/>
  <c r="I133" i="8" s="1"/>
  <c r="B8" i="1"/>
  <c r="G118" i="8"/>
  <c r="G131" i="8" s="1"/>
  <c r="I31" i="8"/>
  <c r="D118" i="8"/>
  <c r="C65" i="10"/>
  <c r="K118" i="11"/>
  <c r="E118" i="11"/>
  <c r="H118" i="12"/>
  <c r="C30" i="1"/>
  <c r="R83" i="10"/>
  <c r="R100" i="10"/>
  <c r="H119" i="10"/>
  <c r="H120" i="10" s="1"/>
  <c r="J119" i="11"/>
  <c r="R100" i="11"/>
  <c r="C65" i="13"/>
  <c r="I65" i="13" s="1"/>
  <c r="F118" i="13"/>
  <c r="H103" i="14"/>
  <c r="H51" i="16"/>
  <c r="F30" i="1"/>
  <c r="D67" i="9"/>
  <c r="C129" i="9"/>
  <c r="Q30" i="8"/>
  <c r="R30" i="8" s="1"/>
  <c r="I119" i="11"/>
  <c r="I120" i="11" s="1"/>
  <c r="L65" i="8"/>
  <c r="H119" i="8"/>
  <c r="H120" i="8" s="1"/>
  <c r="L118" i="8"/>
  <c r="L131" i="8" s="1"/>
  <c r="F118" i="8"/>
  <c r="F133" i="8" s="1"/>
  <c r="N118" i="8"/>
  <c r="N131" i="8" s="1"/>
  <c r="Q116" i="8"/>
  <c r="H118" i="9"/>
  <c r="F16" i="1"/>
  <c r="F65" i="12"/>
  <c r="I51" i="13"/>
  <c r="J93" i="13"/>
  <c r="C15" i="1"/>
  <c r="J16" i="1"/>
  <c r="Q13" i="8"/>
  <c r="K129" i="8"/>
  <c r="R13" i="10"/>
  <c r="H118" i="10"/>
  <c r="C31" i="10"/>
  <c r="L119" i="8"/>
  <c r="L120" i="8" s="1"/>
  <c r="Q51" i="10"/>
  <c r="F119" i="12"/>
  <c r="F120" i="12" s="1"/>
  <c r="G15" i="1"/>
  <c r="G16" i="1"/>
  <c r="I16" i="1"/>
  <c r="C118" i="15"/>
  <c r="E15" i="1"/>
  <c r="E119" i="8"/>
  <c r="E120" i="8" s="1"/>
  <c r="M119" i="8"/>
  <c r="M120" i="8" s="1"/>
  <c r="I118" i="9"/>
  <c r="R116" i="11"/>
  <c r="H51" i="14"/>
  <c r="J15" i="1"/>
  <c r="I113" i="16"/>
  <c r="F15" i="1"/>
  <c r="J30" i="16"/>
  <c r="G129" i="8"/>
  <c r="K118" i="8"/>
  <c r="K131" i="8" s="1"/>
  <c r="F118" i="9"/>
  <c r="I119" i="10"/>
  <c r="I120" i="10" s="1"/>
  <c r="J118" i="11"/>
  <c r="F119" i="11"/>
  <c r="F120" i="11" s="1"/>
  <c r="D133" i="14"/>
  <c r="D30" i="1"/>
  <c r="J30" i="15"/>
  <c r="G118" i="15"/>
  <c r="C65" i="8"/>
  <c r="E118" i="8"/>
  <c r="E131" i="8" s="1"/>
  <c r="M118" i="8"/>
  <c r="M131" i="8" s="1"/>
  <c r="F122" i="9"/>
  <c r="R84" i="10"/>
  <c r="O118" i="10"/>
  <c r="D118" i="11"/>
  <c r="L118" i="11"/>
  <c r="L115" i="12"/>
  <c r="L116" i="12"/>
  <c r="F119" i="15"/>
  <c r="F120" i="15" s="1"/>
  <c r="B12" i="1"/>
  <c r="E30" i="1"/>
  <c r="L129" i="8"/>
  <c r="F119" i="13"/>
  <c r="F120" i="13" s="1"/>
  <c r="J30" i="1"/>
  <c r="F119" i="8"/>
  <c r="N129" i="8"/>
  <c r="N119" i="8"/>
  <c r="N120" i="8" s="1"/>
  <c r="E129" i="9"/>
  <c r="M110" i="9"/>
  <c r="J67" i="8"/>
  <c r="F67" i="9"/>
  <c r="Q83" i="8"/>
  <c r="H119" i="9"/>
  <c r="H120" i="9" s="1"/>
  <c r="F122" i="11"/>
  <c r="I119" i="9"/>
  <c r="I120" i="9" s="1"/>
  <c r="E119" i="10"/>
  <c r="E120" i="10" s="1"/>
  <c r="R9" i="11"/>
  <c r="Q9" i="8"/>
  <c r="G119" i="8"/>
  <c r="G120" i="8" s="1"/>
  <c r="I65" i="10"/>
  <c r="F65" i="11"/>
  <c r="C129" i="8"/>
  <c r="Q115" i="8"/>
  <c r="K122" i="10"/>
  <c r="P119" i="10"/>
  <c r="P120" i="10" s="1"/>
  <c r="R116" i="10"/>
  <c r="D118" i="10"/>
  <c r="G65" i="12"/>
  <c r="I9" i="15"/>
  <c r="L97" i="12"/>
  <c r="L93" i="12"/>
  <c r="M67" i="8"/>
  <c r="H129" i="8"/>
  <c r="R9" i="10"/>
  <c r="J129" i="10"/>
  <c r="H119" i="11"/>
  <c r="H120" i="11" s="1"/>
  <c r="R115" i="11"/>
  <c r="C119" i="15"/>
  <c r="I110" i="15"/>
  <c r="I122" i="9"/>
  <c r="C65" i="9"/>
  <c r="G118" i="9"/>
  <c r="M116" i="9"/>
  <c r="C119" i="9"/>
  <c r="M67" i="10"/>
  <c r="R51" i="10"/>
  <c r="N67" i="10"/>
  <c r="L129" i="10"/>
  <c r="R93" i="10"/>
  <c r="J118" i="10"/>
  <c r="J119" i="10"/>
  <c r="Q51" i="11"/>
  <c r="I119" i="12"/>
  <c r="I120" i="12" s="1"/>
  <c r="N30" i="9"/>
  <c r="K119" i="11"/>
  <c r="K120" i="11" s="1"/>
  <c r="C118" i="11"/>
  <c r="R113" i="11"/>
  <c r="M9" i="9"/>
  <c r="L119" i="11"/>
  <c r="L120" i="11" s="1"/>
  <c r="C65" i="12"/>
  <c r="K51" i="12"/>
  <c r="O51" i="8"/>
  <c r="Q93" i="8"/>
  <c r="Q100" i="8"/>
  <c r="L31" i="9"/>
  <c r="O67" i="10"/>
  <c r="J129" i="11"/>
  <c r="R83" i="11"/>
  <c r="G122" i="12"/>
  <c r="K31" i="12"/>
  <c r="H9" i="14"/>
  <c r="D119" i="9"/>
  <c r="D120" i="9" s="1"/>
  <c r="M119" i="11"/>
  <c r="M120" i="11" s="1"/>
  <c r="M118" i="11"/>
  <c r="I51" i="15"/>
  <c r="H51" i="15"/>
  <c r="D65" i="15"/>
  <c r="D122" i="15"/>
  <c r="Q84" i="8"/>
  <c r="E119" i="9"/>
  <c r="F119" i="9"/>
  <c r="F120" i="9" s="1"/>
  <c r="L118" i="10"/>
  <c r="C119" i="11"/>
  <c r="C133" i="14"/>
  <c r="C129" i="16"/>
  <c r="I93" i="16"/>
  <c r="E120" i="16"/>
  <c r="Q51" i="8"/>
  <c r="E129" i="8"/>
  <c r="M129" i="8"/>
  <c r="M31" i="9"/>
  <c r="G51" i="9"/>
  <c r="L51" i="9" s="1"/>
  <c r="C118" i="9"/>
  <c r="K118" i="9"/>
  <c r="C119" i="10"/>
  <c r="N120" i="10"/>
  <c r="G65" i="15"/>
  <c r="G122" i="15"/>
  <c r="R115" i="10"/>
  <c r="J31" i="13"/>
  <c r="I31" i="15"/>
  <c r="E122" i="15"/>
  <c r="H31" i="16"/>
  <c r="I31" i="16"/>
  <c r="C122" i="16"/>
  <c r="K119" i="10"/>
  <c r="K120" i="10" s="1"/>
  <c r="R31" i="11"/>
  <c r="Q31" i="11"/>
  <c r="C65" i="11"/>
  <c r="R51" i="11"/>
  <c r="R84" i="11"/>
  <c r="M30" i="12"/>
  <c r="D119" i="13"/>
  <c r="D120" i="13" s="1"/>
  <c r="J113" i="13"/>
  <c r="H118" i="13"/>
  <c r="H119" i="13"/>
  <c r="H120" i="13" s="1"/>
  <c r="I115" i="15"/>
  <c r="L119" i="10"/>
  <c r="E118" i="10"/>
  <c r="M118" i="10"/>
  <c r="E118" i="13"/>
  <c r="G118" i="13"/>
  <c r="G119" i="13"/>
  <c r="G120" i="13" s="1"/>
  <c r="H97" i="14"/>
  <c r="R93" i="11"/>
  <c r="E120" i="12"/>
  <c r="D120" i="14"/>
  <c r="H110" i="14"/>
  <c r="G119" i="15"/>
  <c r="G120" i="15" s="1"/>
  <c r="I115" i="16"/>
  <c r="D119" i="11"/>
  <c r="D120" i="11" s="1"/>
  <c r="H119" i="12"/>
  <c r="H120" i="12" s="1"/>
  <c r="J116" i="13"/>
  <c r="E118" i="15"/>
  <c r="R113" i="10"/>
  <c r="F67" i="12"/>
  <c r="G31" i="14"/>
  <c r="F118" i="15"/>
  <c r="D120" i="16"/>
  <c r="G119" i="12"/>
  <c r="G120" i="12" s="1"/>
  <c r="J9" i="13"/>
  <c r="I31" i="13"/>
  <c r="C129" i="15"/>
  <c r="I93" i="15"/>
  <c r="L31" i="12"/>
  <c r="J115" i="13"/>
  <c r="H116" i="14"/>
  <c r="I116" i="15"/>
  <c r="C119" i="12"/>
  <c r="G51" i="14"/>
  <c r="H93" i="14"/>
  <c r="E65" i="16"/>
  <c r="L113" i="12"/>
  <c r="L110" i="12"/>
  <c r="D119" i="15"/>
  <c r="D120" i="15" s="1"/>
  <c r="F120" i="16"/>
  <c r="G66" i="9" l="1"/>
  <c r="G21" i="1"/>
  <c r="I66" i="13"/>
  <c r="F56" i="15"/>
  <c r="F58" i="15"/>
  <c r="F67" i="15" s="1"/>
  <c r="F57" i="15"/>
  <c r="H57" i="15" s="1"/>
  <c r="F55" i="15"/>
  <c r="F122" i="15" s="1"/>
  <c r="I21" i="1" s="1"/>
  <c r="H31" i="15"/>
  <c r="F66" i="15"/>
  <c r="I57" i="8"/>
  <c r="I55" i="8"/>
  <c r="I122" i="8" s="1"/>
  <c r="I58" i="8"/>
  <c r="I67" i="8" s="1"/>
  <c r="I56" i="8"/>
  <c r="O56" i="8" s="1"/>
  <c r="I66" i="8"/>
  <c r="J21" i="1"/>
  <c r="G58" i="9"/>
  <c r="G57" i="9"/>
  <c r="G55" i="9"/>
  <c r="G56" i="9"/>
  <c r="F21" i="1"/>
  <c r="C58" i="10"/>
  <c r="C56" i="10"/>
  <c r="C57" i="10"/>
  <c r="Q57" i="10" s="1"/>
  <c r="C55" i="10"/>
  <c r="C122" i="10" s="1"/>
  <c r="C66" i="10"/>
  <c r="E133" i="16"/>
  <c r="E131" i="16"/>
  <c r="F133" i="16"/>
  <c r="F131" i="16"/>
  <c r="C131" i="16"/>
  <c r="C133" i="16"/>
  <c r="D133" i="16"/>
  <c r="D131" i="16"/>
  <c r="F133" i="15"/>
  <c r="F131" i="15"/>
  <c r="C131" i="15"/>
  <c r="C133" i="15"/>
  <c r="G133" i="15"/>
  <c r="G131" i="15"/>
  <c r="E131" i="15"/>
  <c r="E133" i="15"/>
  <c r="D131" i="15"/>
  <c r="D133" i="15"/>
  <c r="D131" i="14"/>
  <c r="D122" i="14"/>
  <c r="H21" i="1" s="1"/>
  <c r="E129" i="13"/>
  <c r="J97" i="13"/>
  <c r="I67" i="13"/>
  <c r="L133" i="11"/>
  <c r="L131" i="11"/>
  <c r="C133" i="11"/>
  <c r="C131" i="11"/>
  <c r="D131" i="11"/>
  <c r="D133" i="11"/>
  <c r="H131" i="11"/>
  <c r="H133" i="11"/>
  <c r="I133" i="11"/>
  <c r="I131" i="11"/>
  <c r="M131" i="11"/>
  <c r="M133" i="11"/>
  <c r="E131" i="11"/>
  <c r="E133" i="11"/>
  <c r="F131" i="11"/>
  <c r="F133" i="11"/>
  <c r="N131" i="11"/>
  <c r="N133" i="11"/>
  <c r="J133" i="11"/>
  <c r="J131" i="11"/>
  <c r="K133" i="11"/>
  <c r="K131" i="11"/>
  <c r="L122" i="11"/>
  <c r="M122" i="11"/>
  <c r="J122" i="11"/>
  <c r="H133" i="10"/>
  <c r="H131" i="10"/>
  <c r="C133" i="10"/>
  <c r="C131" i="10"/>
  <c r="M133" i="10"/>
  <c r="M131" i="10"/>
  <c r="L133" i="10"/>
  <c r="L131" i="10"/>
  <c r="I131" i="10"/>
  <c r="I133" i="10"/>
  <c r="E131" i="10"/>
  <c r="E133" i="10"/>
  <c r="P131" i="10"/>
  <c r="P133" i="10"/>
  <c r="O131" i="10"/>
  <c r="O133" i="10"/>
  <c r="D133" i="10"/>
  <c r="D131" i="10"/>
  <c r="K131" i="10"/>
  <c r="K133" i="10"/>
  <c r="J133" i="10"/>
  <c r="J131" i="10"/>
  <c r="L122" i="10"/>
  <c r="M122" i="10"/>
  <c r="H131" i="9"/>
  <c r="H133" i="9"/>
  <c r="D131" i="9"/>
  <c r="D133" i="9"/>
  <c r="K131" i="9"/>
  <c r="K133" i="9"/>
  <c r="F131" i="9"/>
  <c r="F133" i="9"/>
  <c r="C131" i="9"/>
  <c r="C133" i="9"/>
  <c r="I131" i="9"/>
  <c r="I133" i="9"/>
  <c r="G131" i="9"/>
  <c r="G133" i="9"/>
  <c r="E131" i="9"/>
  <c r="E133" i="9"/>
  <c r="C131" i="14"/>
  <c r="D131" i="13"/>
  <c r="D133" i="13"/>
  <c r="H131" i="13"/>
  <c r="H133" i="13"/>
  <c r="F131" i="13"/>
  <c r="F133" i="13"/>
  <c r="C131" i="13"/>
  <c r="C133" i="13"/>
  <c r="G133" i="13"/>
  <c r="G131" i="13"/>
  <c r="E131" i="13"/>
  <c r="E133" i="13"/>
  <c r="G133" i="12"/>
  <c r="G131" i="12"/>
  <c r="F131" i="12"/>
  <c r="F133" i="12"/>
  <c r="E131" i="12"/>
  <c r="E133" i="12"/>
  <c r="H131" i="12"/>
  <c r="H133" i="12"/>
  <c r="C131" i="12"/>
  <c r="C133" i="12"/>
  <c r="I131" i="12"/>
  <c r="I133" i="12"/>
  <c r="O31" i="8"/>
  <c r="C122" i="8"/>
  <c r="I120" i="8"/>
  <c r="C120" i="9"/>
  <c r="M97" i="9"/>
  <c r="I118" i="15"/>
  <c r="I9" i="1"/>
  <c r="F67" i="14"/>
  <c r="F20" i="1"/>
  <c r="J9" i="1"/>
  <c r="G19" i="1"/>
  <c r="L118" i="12"/>
  <c r="Q58" i="11"/>
  <c r="M118" i="9"/>
  <c r="Q31" i="8"/>
  <c r="Q66" i="10"/>
  <c r="R97" i="10"/>
  <c r="H17" i="1"/>
  <c r="H19" i="1"/>
  <c r="H20" i="1"/>
  <c r="C67" i="14"/>
  <c r="I129" i="8"/>
  <c r="I131" i="8"/>
  <c r="Q97" i="8"/>
  <c r="G133" i="8"/>
  <c r="L133" i="8"/>
  <c r="K133" i="8"/>
  <c r="O65" i="8"/>
  <c r="H131" i="8"/>
  <c r="D131" i="8"/>
  <c r="C67" i="8"/>
  <c r="O66" i="8"/>
  <c r="B15" i="1"/>
  <c r="F17" i="1"/>
  <c r="F9" i="1"/>
  <c r="F11" i="1"/>
  <c r="F13" i="1"/>
  <c r="F131" i="8"/>
  <c r="J20" i="1"/>
  <c r="B13" i="1"/>
  <c r="B11" i="1"/>
  <c r="B9" i="1"/>
  <c r="E20" i="1"/>
  <c r="E11" i="1"/>
  <c r="E9" i="1"/>
  <c r="E13" i="1"/>
  <c r="M133" i="8"/>
  <c r="J19" i="1"/>
  <c r="G20" i="1"/>
  <c r="I11" i="1"/>
  <c r="Q57" i="11"/>
  <c r="E19" i="1"/>
  <c r="M51" i="9"/>
  <c r="K51" i="16" s="1"/>
  <c r="C16" i="1"/>
  <c r="J11" i="1"/>
  <c r="I13" i="1"/>
  <c r="E119" i="13"/>
  <c r="E120" i="13" s="1"/>
  <c r="J110" i="13"/>
  <c r="G17" i="1"/>
  <c r="Q55" i="11"/>
  <c r="E17" i="1"/>
  <c r="R110" i="11"/>
  <c r="D15" i="1"/>
  <c r="R31" i="10"/>
  <c r="F19" i="1"/>
  <c r="J17" i="1"/>
  <c r="E133" i="8"/>
  <c r="N133" i="8"/>
  <c r="J13" i="1"/>
  <c r="G9" i="1"/>
  <c r="G11" i="1"/>
  <c r="G13" i="1"/>
  <c r="H9" i="1"/>
  <c r="H13" i="1"/>
  <c r="H11" i="1"/>
  <c r="H65" i="16"/>
  <c r="Q31" i="10"/>
  <c r="D9" i="1"/>
  <c r="D13" i="1"/>
  <c r="D11" i="1"/>
  <c r="D119" i="10"/>
  <c r="D120" i="10" s="1"/>
  <c r="H118" i="14"/>
  <c r="L119" i="12"/>
  <c r="I57" i="13"/>
  <c r="G57" i="14"/>
  <c r="J118" i="13"/>
  <c r="Q65" i="11"/>
  <c r="Q66" i="11"/>
  <c r="R58" i="11"/>
  <c r="R110" i="10"/>
  <c r="C120" i="14"/>
  <c r="H119" i="14"/>
  <c r="H65" i="15"/>
  <c r="J120" i="11"/>
  <c r="Q113" i="8"/>
  <c r="C118" i="8"/>
  <c r="C119" i="8"/>
  <c r="H58" i="14"/>
  <c r="G58" i="14"/>
  <c r="I58" i="15"/>
  <c r="I119" i="15"/>
  <c r="J120" i="10"/>
  <c r="C120" i="10"/>
  <c r="F120" i="8"/>
  <c r="F129" i="8"/>
  <c r="G65" i="14"/>
  <c r="G67" i="14"/>
  <c r="G66" i="14"/>
  <c r="I118" i="16"/>
  <c r="I55" i="13"/>
  <c r="I119" i="16"/>
  <c r="H55" i="16"/>
  <c r="L120" i="10"/>
  <c r="D67" i="15"/>
  <c r="E67" i="11"/>
  <c r="D129" i="8"/>
  <c r="D119" i="8"/>
  <c r="D120" i="8" s="1"/>
  <c r="D133" i="8"/>
  <c r="Q110" i="8"/>
  <c r="K58" i="12"/>
  <c r="Q65" i="10"/>
  <c r="R97" i="11"/>
  <c r="R118" i="10"/>
  <c r="G55" i="14"/>
  <c r="H58" i="16"/>
  <c r="I58" i="16"/>
  <c r="C120" i="13"/>
  <c r="K55" i="12"/>
  <c r="R118" i="11"/>
  <c r="M119" i="9"/>
  <c r="J58" i="13"/>
  <c r="E120" i="9"/>
  <c r="H66" i="16"/>
  <c r="H67" i="16"/>
  <c r="C121" i="12"/>
  <c r="G65" i="9"/>
  <c r="L65" i="9" s="1"/>
  <c r="L57" i="9"/>
  <c r="C120" i="11"/>
  <c r="R119" i="11"/>
  <c r="E67" i="12"/>
  <c r="K67" i="12"/>
  <c r="K65" i="12"/>
  <c r="K66" i="12"/>
  <c r="I58" i="13"/>
  <c r="C120" i="12"/>
  <c r="K57" i="12"/>
  <c r="I97" i="15"/>
  <c r="C120" i="15"/>
  <c r="H67" i="15"/>
  <c r="C67" i="16"/>
  <c r="H66" i="15"/>
  <c r="D67" i="13"/>
  <c r="C120" i="16"/>
  <c r="I97" i="16"/>
  <c r="H57" i="16"/>
  <c r="L58" i="12"/>
  <c r="E21" i="1" l="1"/>
  <c r="D21" i="1"/>
  <c r="I20" i="1"/>
  <c r="I19" i="1"/>
  <c r="H55" i="15"/>
  <c r="I17" i="1"/>
  <c r="H58" i="15"/>
  <c r="L55" i="9"/>
  <c r="G122" i="9"/>
  <c r="C21" i="1" s="1"/>
  <c r="J119" i="13"/>
  <c r="B21" i="1"/>
  <c r="K31" i="16"/>
  <c r="B17" i="1"/>
  <c r="B18" i="1"/>
  <c r="C20" i="1"/>
  <c r="H56" i="15"/>
  <c r="I18" i="1"/>
  <c r="O57" i="8"/>
  <c r="B19" i="1"/>
  <c r="Q58" i="10"/>
  <c r="R58" i="10"/>
  <c r="D19" i="1"/>
  <c r="O55" i="8"/>
  <c r="B20" i="1"/>
  <c r="O58" i="8"/>
  <c r="Q58" i="8"/>
  <c r="E18" i="1"/>
  <c r="Q56" i="11"/>
  <c r="J18" i="1"/>
  <c r="D20" i="1"/>
  <c r="C67" i="10"/>
  <c r="G18" i="1"/>
  <c r="R119" i="10"/>
  <c r="D17" i="1"/>
  <c r="G56" i="14"/>
  <c r="H18" i="1"/>
  <c r="C13" i="1"/>
  <c r="C9" i="1"/>
  <c r="C17" i="1"/>
  <c r="F18" i="1"/>
  <c r="Q55" i="10"/>
  <c r="C11" i="1"/>
  <c r="C19" i="1"/>
  <c r="H56" i="16"/>
  <c r="G67" i="9"/>
  <c r="M58" i="9"/>
  <c r="L58" i="9"/>
  <c r="Q119" i="8"/>
  <c r="C120" i="8"/>
  <c r="C131" i="8"/>
  <c r="Q118" i="8"/>
  <c r="C133" i="8"/>
  <c r="L56" i="9"/>
  <c r="K56" i="12"/>
  <c r="I56" i="13"/>
  <c r="D18" i="1" l="1"/>
  <c r="Q56" i="10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thanh.nguyen</author>
  </authors>
  <commentList>
    <comment ref="C5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joji.kume:</t>
        </r>
        <r>
          <rPr>
            <sz val="9"/>
            <color indexed="81"/>
            <rFont val="Tahoma"/>
            <family val="2"/>
          </rPr>
          <t xml:space="preserve">
Transfers to RTA, pledged revenue &amp; PIC</t>
        </r>
      </text>
    </comment>
  </commentList>
</comments>
</file>

<file path=xl/sharedStrings.xml><?xml version="1.0" encoding="utf-8"?>
<sst xmlns="http://schemas.openxmlformats.org/spreadsheetml/2006/main" count="1301" uniqueCount="241">
  <si>
    <t>Network of California Fairs</t>
  </si>
  <si>
    <t>Class 1</t>
  </si>
  <si>
    <t>Class 2</t>
  </si>
  <si>
    <t>Class 3</t>
  </si>
  <si>
    <t>Class 3+</t>
  </si>
  <si>
    <t>Class 4</t>
  </si>
  <si>
    <t>Class 4+</t>
  </si>
  <si>
    <t>Class 5</t>
  </si>
  <si>
    <t>Class 6</t>
  </si>
  <si>
    <t>Class 7</t>
  </si>
  <si>
    <t xml:space="preserve">Total </t>
  </si>
  <si>
    <t>Number of Fairs</t>
  </si>
  <si>
    <t>Average Reserves by Dollars ($)</t>
  </si>
  <si>
    <t>Average Reserves by Percentage (%)</t>
  </si>
  <si>
    <t>Reserves High By Dollars ($)</t>
  </si>
  <si>
    <t>Reserves High By Percentage (%)</t>
  </si>
  <si>
    <t>Reserves Low By Dollars ($)</t>
  </si>
  <si>
    <t>Reserves Low By Percentage (%)</t>
  </si>
  <si>
    <t>Average Operating Revenues ($)</t>
  </si>
  <si>
    <t>Average Operating Expenditures ($)</t>
  </si>
  <si>
    <t>Average Operating Profit/(Loss) BEFORE Depreciation ($)</t>
  </si>
  <si>
    <t>Average Operating Profit/(Loss) AFTER Depreciation ($)</t>
  </si>
  <si>
    <t>Average Net Profit/(Loss) BEFORE Depreciation ($)</t>
  </si>
  <si>
    <t>Average Net Profit/(Loss) AFTER Depreciation ($)</t>
  </si>
  <si>
    <t>Average Number of Permanent Positions *</t>
  </si>
  <si>
    <t>Average Paid Fair Attendance</t>
  </si>
  <si>
    <t>Average Free Fair Attendance</t>
  </si>
  <si>
    <t>Average Total Fair Attendance</t>
  </si>
  <si>
    <t xml:space="preserve">Note:  Reserves refers to Unrestricted Net Resources Available for Operations. </t>
  </si>
  <si>
    <t>*  Not all permanent positions are full-time positions.</t>
  </si>
  <si>
    <t>10-A DAA, Tulelake-Butte Valley Fair</t>
  </si>
  <si>
    <t>33rd DAA,      San Benito County Fair</t>
  </si>
  <si>
    <t>34th DAA, Modoc-Last Frontier Fair</t>
  </si>
  <si>
    <t>48th DAA, Schools Involvement Fair</t>
  </si>
  <si>
    <t>51st DAA,       The Valley Fair</t>
  </si>
  <si>
    <t>52nd DAA, Sacramento County Fair</t>
  </si>
  <si>
    <t>53rd DAA, Desert Empire Fair</t>
  </si>
  <si>
    <t>Chowchilla- Madera County Fair</t>
  </si>
  <si>
    <t>Mendocino County Fair</t>
  </si>
  <si>
    <t>Trinity County Fair</t>
  </si>
  <si>
    <t>consolidated averages</t>
  </si>
  <si>
    <t>DAA-totals</t>
  </si>
  <si>
    <t>Unrestricted - Available for Operations</t>
  </si>
  <si>
    <t>Restricted Resources</t>
  </si>
  <si>
    <t>Investment in Capital Assets</t>
  </si>
  <si>
    <t>Prior Year Audit Adjustment(s)</t>
  </si>
  <si>
    <t>Total Net Resources</t>
  </si>
  <si>
    <t>Resources Acquired:</t>
  </si>
  <si>
    <t>State Allocation</t>
  </si>
  <si>
    <t>Capital Project Reimbursement Funds</t>
  </si>
  <si>
    <t>Other</t>
  </si>
  <si>
    <t>Operating Revenues:</t>
  </si>
  <si>
    <t>Admissions to Grounds</t>
  </si>
  <si>
    <t>Industrial and Commercial Space</t>
  </si>
  <si>
    <t>Carnivals</t>
  </si>
  <si>
    <t>Concessions</t>
  </si>
  <si>
    <t>Exhibits</t>
  </si>
  <si>
    <t>Horse Show</t>
  </si>
  <si>
    <t>Horse Racing (Fairtime Pari-Mutuel)</t>
  </si>
  <si>
    <t>Horse Racing (Satellite Wagering)</t>
  </si>
  <si>
    <t>Fair Attractions</t>
  </si>
  <si>
    <t>Motorized Racing</t>
  </si>
  <si>
    <t>Interim Attractions</t>
  </si>
  <si>
    <t>Miscellaneous Fair</t>
  </si>
  <si>
    <t xml:space="preserve">Miscellaneous Non-Fair </t>
  </si>
  <si>
    <t>Interim Revenue</t>
  </si>
  <si>
    <t>Prior Year Revenue Adjustment</t>
  </si>
  <si>
    <t>Other Operating Revenue</t>
  </si>
  <si>
    <t>total "other operating revenues"-SCO GAAP report</t>
  </si>
  <si>
    <t>Total Operating Revenues</t>
  </si>
  <si>
    <t>total operating revenues + resources acquired</t>
  </si>
  <si>
    <t>Operating Expenditures:</t>
  </si>
  <si>
    <t>Administration</t>
  </si>
  <si>
    <t>Maintenance &amp; General Operations</t>
  </si>
  <si>
    <t>Publicity</t>
  </si>
  <si>
    <t>Attendance Operations</t>
  </si>
  <si>
    <t>Miscellaneous Non-Fair Programs</t>
  </si>
  <si>
    <t xml:space="preserve">Premiums </t>
  </si>
  <si>
    <t>Fair Entertainment Expense</t>
  </si>
  <si>
    <t>Interim Entertainment Expense</t>
  </si>
  <si>
    <t>Equipment Funded by Fair</t>
  </si>
  <si>
    <t>Prior Year Expense Adjustment</t>
  </si>
  <si>
    <t>Cash (Over/Under)</t>
  </si>
  <si>
    <t>Other Operating Expense</t>
  </si>
  <si>
    <t>Total Operating Expenditures</t>
  </si>
  <si>
    <t>Other Addition/(Reduction) in Resources</t>
  </si>
  <si>
    <t>Depreciation Expense</t>
  </si>
  <si>
    <t>Reserve Percentage</t>
  </si>
  <si>
    <t>Check Figure</t>
  </si>
  <si>
    <t>(operating revenues less operating expenditures).</t>
  </si>
  <si>
    <t xml:space="preserve">(operating revenues and resources acquired) and all expenditures </t>
  </si>
  <si>
    <t>(operating expenditures and depreciation expense).</t>
  </si>
  <si>
    <t>Statement of Financial Condition</t>
  </si>
  <si>
    <t>Assets</t>
  </si>
  <si>
    <t>Cash:</t>
  </si>
  <si>
    <t xml:space="preserve">    Restricted Cash</t>
  </si>
  <si>
    <t xml:space="preserve">    Available Cash</t>
  </si>
  <si>
    <t>Accounts Receivable</t>
  </si>
  <si>
    <t>Deferred Charges</t>
  </si>
  <si>
    <t>Other Assets</t>
  </si>
  <si>
    <t>Construction in Progress</t>
  </si>
  <si>
    <t>Land</t>
  </si>
  <si>
    <t>Buildings and Improvements</t>
  </si>
  <si>
    <t>Equipment</t>
  </si>
  <si>
    <t>Leasehold Improvements</t>
  </si>
  <si>
    <t>Less Accumulated Depreciation</t>
  </si>
  <si>
    <t>Adjustment for rounding</t>
  </si>
  <si>
    <t>Total Assets</t>
  </si>
  <si>
    <t>Insurance Fees Payable</t>
  </si>
  <si>
    <t>Accounts Payable</t>
  </si>
  <si>
    <t>Payroll Liabilities</t>
  </si>
  <si>
    <t>Deferred Revenue</t>
  </si>
  <si>
    <t>Other Liabilities</t>
  </si>
  <si>
    <t>Guarantee Deposits</t>
  </si>
  <si>
    <t>Compensated Absences Liability</t>
  </si>
  <si>
    <t>Long Term Debt</t>
  </si>
  <si>
    <t>Net Resources</t>
  </si>
  <si>
    <t>Junior Livestock Auction Reserve</t>
  </si>
  <si>
    <t xml:space="preserve">Investment in Capital Assets </t>
  </si>
  <si>
    <t>Profit margin ratio (operating profit/(loss) BEFORE depreciation)/total operating revenues)</t>
  </si>
  <si>
    <t>This ratio describes a Fair’s ability to earn net profit from operating revenues.</t>
  </si>
  <si>
    <t>Debt ratio (total obligations/total assets)</t>
  </si>
  <si>
    <t>This ratio measures what portion of a Fair's assets are contributed by debt.</t>
  </si>
  <si>
    <t>Equity ratio (total net resources/total assets)</t>
  </si>
  <si>
    <t>This ratio measures what portion of a Fair's assets are contributed by revenues.</t>
  </si>
  <si>
    <t>Debt to equity ratio (total obligations/total net resources)</t>
  </si>
  <si>
    <t>This ratio measures the solvency of Fairs.</t>
  </si>
  <si>
    <t># of Permanent Positions</t>
  </si>
  <si>
    <t>Paid Fair Admissions</t>
  </si>
  <si>
    <t>Free Fair Admissions</t>
  </si>
  <si>
    <t xml:space="preserve">Total Admissions </t>
  </si>
  <si>
    <t>29th DAA, Mother Lode Fair</t>
  </si>
  <si>
    <t>35-A DAA, Mariposa County Fair</t>
  </si>
  <si>
    <t>41st DAA, 
Del Norte County Fair</t>
  </si>
  <si>
    <t xml:space="preserve">42nd DAA, Glenn County Fair </t>
  </si>
  <si>
    <t>44th DAA, Colusa County Fair</t>
  </si>
  <si>
    <t>49th DAA, Lake County Fair</t>
  </si>
  <si>
    <t>Butte County Fair</t>
  </si>
  <si>
    <t>averages-all</t>
  </si>
  <si>
    <t>9th DAA, Redwood Acres Fair</t>
  </si>
  <si>
    <t>10th DAA, Siskiyou Golden Fair</t>
  </si>
  <si>
    <t>12th DAA, Redwood Empire Fair</t>
  </si>
  <si>
    <t xml:space="preserve">18th DAA, Eastern Sierra Tri-County Fair *           </t>
  </si>
  <si>
    <t>20th DAA,    Gold Country Fair</t>
  </si>
  <si>
    <t>24-A DAA,    Kings Fair</t>
  </si>
  <si>
    <t>26th DAA, Amador County Fair</t>
  </si>
  <si>
    <t>30th DAA, Tehama District Fair</t>
  </si>
  <si>
    <t>39th DAA, Calaveras County Fair</t>
  </si>
  <si>
    <t>40th DAA,    Yolo County Fair</t>
  </si>
  <si>
    <t>Merced County Spring Fair</t>
  </si>
  <si>
    <t>Lodi Grape Festival &amp; Harvest Fair</t>
  </si>
  <si>
    <t>Miscellaneous Non-Fair</t>
  </si>
  <si>
    <t xml:space="preserve">*  </t>
  </si>
  <si>
    <t>Construction In Progress</t>
  </si>
  <si>
    <t>Check figures</t>
  </si>
  <si>
    <t>3rd DAA,     Silver Dollar Fair</t>
  </si>
  <si>
    <t>4th DAA, Sonoma Marin Fair</t>
  </si>
  <si>
    <t>14th DAA,     Santa Cruz County Fair</t>
  </si>
  <si>
    <t>21-A DAA, Madera District Fair</t>
  </si>
  <si>
    <t>25th DAA,     Napa Town &amp; Country Fair</t>
  </si>
  <si>
    <t>27th DAA, Shasta District Fair</t>
  </si>
  <si>
    <t>36th DAA,    Dixon May Fair</t>
  </si>
  <si>
    <t>45th DAA, California Mid- Winter Fair</t>
  </si>
  <si>
    <t>El Dorado County Fair</t>
  </si>
  <si>
    <t>Humboldt County Fair</t>
  </si>
  <si>
    <t>Salinas Valley Fair</t>
  </si>
  <si>
    <t xml:space="preserve">Adjustment for rounding </t>
  </si>
  <si>
    <t>7th DAA, Monterey County Fair</t>
  </si>
  <si>
    <t>17th DAA, Nevada County Fair</t>
  </si>
  <si>
    <t>19th DAA,     Santa Barbara Fair</t>
  </si>
  <si>
    <t>24th DAA, 
Tulare County Fair</t>
  </si>
  <si>
    <t>28th DAA,       San Bernardino County Fair</t>
  </si>
  <si>
    <t>35th DAA, Merced County Fair</t>
  </si>
  <si>
    <t>37th DAA,     Santa Maria Fair Park</t>
  </si>
  <si>
    <t>2nd DAA,         San Joaquin County Fair</t>
  </si>
  <si>
    <t>38th DAA, Stanislaus County Fair</t>
  </si>
  <si>
    <t>46th DAA, Southern California Fair</t>
  </si>
  <si>
    <t>Santa Clara County Fair</t>
  </si>
  <si>
    <t>Solano County Fair</t>
  </si>
  <si>
    <t xml:space="preserve"> </t>
  </si>
  <si>
    <t>1-A DAA,     Grand National Rodeo &amp; Show</t>
  </si>
  <si>
    <t>15th DAA,        Kern County Fair</t>
  </si>
  <si>
    <t>(May include permanent intermittents)</t>
  </si>
  <si>
    <t xml:space="preserve">16th DAA, California Mid-State Fair          </t>
  </si>
  <si>
    <t>31st DAA, Ventura County Fair</t>
  </si>
  <si>
    <t>National Orange Show</t>
  </si>
  <si>
    <t>Computer Software, Land Use Rights, etc.</t>
  </si>
  <si>
    <t>22nd DAA, 
San Diego County Fair</t>
  </si>
  <si>
    <t>32nd DAA, Orange County Fair</t>
  </si>
  <si>
    <t>Alameda County Fair</t>
  </si>
  <si>
    <t>California Exposition and State Fair 
(Cal Expo)</t>
  </si>
  <si>
    <t xml:space="preserve">Reserve Percentage </t>
  </si>
  <si>
    <t>Number of Fairs that Reported 2015 STOP</t>
  </si>
  <si>
    <t>Average Leave Liability</t>
  </si>
  <si>
    <t>Quick Ratio [(current assets - inventories) / current liabilities]</t>
  </si>
  <si>
    <t>The quick ratio measures the Fair's ability to meet its short-term obligations with its most liquid assets. Higher the quick ratio, the better the Fair's liquidity position.</t>
  </si>
  <si>
    <t>Quick Ratio* (with compensated absences liability)</t>
  </si>
  <si>
    <t>This version of the quick ratio is more conservative as compensated absence liability is included as a part of current liabilities.</t>
  </si>
  <si>
    <t>Average Profit Margin Ratio (Operations Only)</t>
  </si>
  <si>
    <t xml:space="preserve">Net Operating Profit/(Loss) </t>
  </si>
  <si>
    <t xml:space="preserve">represents income or loss from operating actvities only </t>
  </si>
  <si>
    <r>
      <rPr>
        <b/>
        <i/>
        <sz val="9"/>
        <rFont val="Arial"/>
        <family val="2"/>
      </rPr>
      <t>Net Profit/(Loss)</t>
    </r>
    <r>
      <rPr>
        <i/>
        <sz val="9"/>
        <rFont val="Arial"/>
        <family val="2"/>
      </rPr>
      <t xml:space="preserve"> includes all sources of revenues</t>
    </r>
  </si>
  <si>
    <t>San Mateo County Fair</t>
  </si>
  <si>
    <t>54th DAA, Colorado River Country Fair</t>
  </si>
  <si>
    <t>Cloverdale Citrus Fair</t>
  </si>
  <si>
    <t>Beginning Net Resources 1/1/2016</t>
  </si>
  <si>
    <t>Ending Net Resources 12/31/2016</t>
  </si>
  <si>
    <t>Pension Expense</t>
  </si>
  <si>
    <t>Net Operating Profit/(Loss) BEFORE Depreciation &amp; Pension</t>
  </si>
  <si>
    <t>Net Operating Profit/(Loss) AFTER Depreciation &amp; Pension</t>
  </si>
  <si>
    <t>Net Profit/(Loss) BEFORE Depreciation &amp; Pension</t>
  </si>
  <si>
    <t>Net Profit/(Loss) AFTER Depreciation &amp; Pension</t>
  </si>
  <si>
    <t>Total Assets &amp; Deferred Outflows of Resources</t>
  </si>
  <si>
    <t>Liabilities</t>
  </si>
  <si>
    <t>Total Liabilities &amp; Deferred Inflows of Resources</t>
  </si>
  <si>
    <t>Deferred Outflows of Resources</t>
  </si>
  <si>
    <t>Deferred Inflows of Resources</t>
  </si>
  <si>
    <t>Total Liabilities</t>
  </si>
  <si>
    <t>Net Pension Liability</t>
  </si>
  <si>
    <t>Total Liabilities, Deferred Inflows of Resources, and Net Resources</t>
  </si>
  <si>
    <t>Unrestricted - Net Position Pension</t>
  </si>
  <si>
    <t>23rd DAA, Contra Costa County Fair</t>
  </si>
  <si>
    <t>Inter-Mountain Fair</t>
  </si>
  <si>
    <t>Riverside County Fair &amp; National Date Festival
FY 15/16</t>
  </si>
  <si>
    <t>Sonoma County Fair FY 15/16</t>
  </si>
  <si>
    <t>Plumas-Sierra County Fair 
FY 15/16</t>
  </si>
  <si>
    <t>Los Angeles County Fair</t>
  </si>
  <si>
    <t>Marin County Fair</t>
  </si>
  <si>
    <t>2016 STOP Statistical Summary</t>
  </si>
  <si>
    <t>50th DAA, Antelope Valley Fair</t>
  </si>
  <si>
    <t>was unavailable at the time of the 2016 STOP Publication.</t>
  </si>
  <si>
    <t>21st DAA, 
The Big Fresno Fair**</t>
  </si>
  <si>
    <t xml:space="preserve">The Big Fresno Fair's STOP </t>
  </si>
  <si>
    <t>Napa County Fair</t>
  </si>
  <si>
    <t>N/A</t>
  </si>
  <si>
    <t>omitted information pertaining to their pension liability</t>
  </si>
  <si>
    <t xml:space="preserve">**  </t>
  </si>
  <si>
    <t>13th DAA,   Yuba Sutter Fair</t>
  </si>
  <si>
    <t xml:space="preserve">Eastern Sierra Tri-County Fair's STOP </t>
  </si>
  <si>
    <t>Placer County Fair</t>
  </si>
  <si>
    <t>Lassen County Fair FY 15/16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</si>
</sst>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#,##0.0_);[Red]\(#,##0.0\)"/>
    <numFmt numFmtId="168" formatCode="0.000%"/>
    <numFmt numFmtId="172" formatCode="&quot;$&quot;#,##0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sz val="11"/>
      <color rgb="FFFF0000"/>
      <name val="Arial"/>
      <family val="2"/>
    </font>
    <font>
      <sz val="10"/>
      <color rgb="FF00B0F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i/>
      <sz val="9"/>
      <name val="Arial"/>
      <family val="2"/>
    </font>
    <font>
      <sz val="11"/>
      <color theme="1"/>
      <name val="Arial"/>
      <family val="2"/>
    </font>
    <font>
      <i/>
      <sz val="9"/>
      <color theme="1"/>
      <name val="Arial"/>
      <family val="2"/>
    </font>
    <font>
      <sz val="11"/>
      <color theme="4" tint="-0.249977111117893"/>
      <name val="Arial"/>
      <family val="2"/>
    </font>
    <font>
      <b/>
      <sz val="11"/>
      <color theme="4" tint="-0.249977111117893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sz val="10"/>
      <name val="Univers (WN)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  <xf numFmtId="0" fontId="17" fillId="0" borderId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>
      <alignment horizontal="centerContinuous"/>
    </xf>
  </cellStyleXfs>
  <cellXfs count="389">
    <xf numFmtId="0" fontId="0" fillId="0" borderId="0" xfId="0"/>
    <xf numFmtId="0" fontId="1" fillId="0" borderId="0" xfId="3" applyAlignment="1"/>
    <xf numFmtId="0" fontId="3" fillId="0" borderId="0" xfId="3" applyFont="1"/>
    <xf numFmtId="0" fontId="1" fillId="0" borderId="0" xfId="3" applyBorder="1"/>
    <xf numFmtId="0" fontId="1" fillId="0" borderId="0" xfId="3"/>
    <xf numFmtId="0" fontId="1" fillId="0" borderId="0" xfId="3" applyAlignment="1">
      <alignment vertical="center"/>
    </xf>
    <xf numFmtId="0" fontId="4" fillId="0" borderId="1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1" fillId="0" borderId="0" xfId="3" applyFill="1" applyAlignment="1">
      <alignment vertical="center"/>
    </xf>
    <xf numFmtId="6" fontId="4" fillId="0" borderId="4" xfId="4" applyNumberFormat="1" applyFont="1" applyBorder="1" applyAlignment="1">
      <alignment vertical="center"/>
    </xf>
    <xf numFmtId="164" fontId="4" fillId="0" borderId="4" xfId="3" applyNumberFormat="1" applyFont="1" applyBorder="1" applyAlignment="1">
      <alignment vertical="center"/>
    </xf>
    <xf numFmtId="164" fontId="6" fillId="0" borderId="4" xfId="3" applyNumberFormat="1" applyFont="1" applyBorder="1" applyAlignment="1">
      <alignment vertical="center"/>
    </xf>
    <xf numFmtId="5" fontId="4" fillId="0" borderId="4" xfId="4" applyNumberFormat="1" applyFont="1" applyBorder="1" applyAlignment="1">
      <alignment vertical="center"/>
    </xf>
    <xf numFmtId="5" fontId="7" fillId="0" borderId="4" xfId="4" applyNumberFormat="1" applyFont="1" applyBorder="1" applyAlignment="1">
      <alignment vertical="center"/>
    </xf>
    <xf numFmtId="6" fontId="4" fillId="0" borderId="4" xfId="3" applyNumberFormat="1" applyFont="1" applyBorder="1" applyAlignment="1">
      <alignment vertical="center"/>
    </xf>
    <xf numFmtId="0" fontId="8" fillId="0" borderId="0" xfId="3" applyFont="1"/>
    <xf numFmtId="165" fontId="4" fillId="0" borderId="4" xfId="1" applyNumberFormat="1" applyFont="1" applyBorder="1" applyAlignment="1">
      <alignment vertical="center"/>
    </xf>
    <xf numFmtId="166" fontId="4" fillId="0" borderId="4" xfId="1" applyNumberFormat="1" applyFont="1" applyBorder="1" applyAlignment="1">
      <alignment vertical="center"/>
    </xf>
    <xf numFmtId="0" fontId="5" fillId="0" borderId="0" xfId="3" applyFont="1" applyFill="1" applyBorder="1" applyAlignment="1">
      <alignment vertical="center" wrapText="1"/>
    </xf>
    <xf numFmtId="165" fontId="4" fillId="0" borderId="0" xfId="1" applyNumberFormat="1" applyFont="1" applyBorder="1" applyAlignment="1">
      <alignment vertical="center"/>
    </xf>
    <xf numFmtId="0" fontId="1" fillId="0" borderId="0" xfId="3" applyFont="1"/>
    <xf numFmtId="0" fontId="1" fillId="0" borderId="0" xfId="3" applyFont="1" applyAlignment="1">
      <alignment wrapText="1"/>
    </xf>
    <xf numFmtId="0" fontId="10" fillId="0" borderId="7" xfId="3" applyFont="1" applyBorder="1"/>
    <xf numFmtId="6" fontId="1" fillId="4" borderId="4" xfId="3" applyNumberFormat="1" applyFont="1" applyFill="1" applyBorder="1"/>
    <xf numFmtId="6" fontId="1" fillId="0" borderId="4" xfId="3" applyNumberFormat="1" applyFont="1" applyBorder="1"/>
    <xf numFmtId="6" fontId="1" fillId="0" borderId="4" xfId="3" applyNumberFormat="1" applyFont="1" applyFill="1" applyBorder="1"/>
    <xf numFmtId="38" fontId="1" fillId="4" borderId="1" xfId="3" applyNumberFormat="1" applyFont="1" applyFill="1" applyBorder="1"/>
    <xf numFmtId="38" fontId="1" fillId="0" borderId="1" xfId="3" applyNumberFormat="1" applyFont="1" applyFill="1" applyBorder="1"/>
    <xf numFmtId="0" fontId="10" fillId="0" borderId="5" xfId="3" applyFont="1" applyBorder="1"/>
    <xf numFmtId="38" fontId="1" fillId="4" borderId="4" xfId="3" applyNumberFormat="1" applyFont="1" applyFill="1" applyBorder="1"/>
    <xf numFmtId="38" fontId="1" fillId="0" borderId="4" xfId="3" applyNumberFormat="1" applyFont="1" applyFill="1" applyBorder="1"/>
    <xf numFmtId="38" fontId="1" fillId="0" borderId="0" xfId="3" applyNumberFormat="1" applyFont="1"/>
    <xf numFmtId="6" fontId="10" fillId="5" borderId="6" xfId="3" applyNumberFormat="1" applyFont="1" applyFill="1" applyBorder="1"/>
    <xf numFmtId="0" fontId="1" fillId="5" borderId="0" xfId="3" applyFont="1" applyFill="1"/>
    <xf numFmtId="0" fontId="1" fillId="5" borderId="7" xfId="3" applyFont="1" applyFill="1" applyBorder="1"/>
    <xf numFmtId="38" fontId="1" fillId="5" borderId="4" xfId="3" applyNumberFormat="1" applyFont="1" applyFill="1" applyBorder="1"/>
    <xf numFmtId="0" fontId="10" fillId="0" borderId="8" xfId="3" applyFont="1" applyBorder="1"/>
    <xf numFmtId="0" fontId="1" fillId="4" borderId="1" xfId="3" applyFont="1" applyFill="1" applyBorder="1"/>
    <xf numFmtId="0" fontId="1" fillId="0" borderId="1" xfId="3" applyFont="1" applyBorder="1"/>
    <xf numFmtId="0" fontId="1" fillId="0" borderId="1" xfId="3" applyFont="1" applyFill="1" applyBorder="1"/>
    <xf numFmtId="0" fontId="1" fillId="0" borderId="7" xfId="3" applyFont="1" applyBorder="1"/>
    <xf numFmtId="38" fontId="1" fillId="0" borderId="4" xfId="3" applyNumberFormat="1" applyFont="1" applyBorder="1"/>
    <xf numFmtId="38" fontId="1" fillId="0" borderId="1" xfId="3" applyNumberFormat="1" applyFont="1" applyBorder="1"/>
    <xf numFmtId="0" fontId="1" fillId="5" borderId="9" xfId="3" applyFont="1" applyFill="1" applyBorder="1"/>
    <xf numFmtId="38" fontId="1" fillId="5" borderId="10" xfId="3" applyNumberFormat="1" applyFont="1" applyFill="1" applyBorder="1"/>
    <xf numFmtId="38" fontId="1" fillId="5" borderId="0" xfId="3" applyNumberFormat="1" applyFont="1" applyFill="1"/>
    <xf numFmtId="38" fontId="1" fillId="5" borderId="10" xfId="3" applyNumberFormat="1" applyFont="1" applyFill="1" applyBorder="1" applyProtection="1"/>
    <xf numFmtId="0" fontId="1" fillId="5" borderId="8" xfId="3" applyFont="1" applyFill="1" applyBorder="1"/>
    <xf numFmtId="6" fontId="10" fillId="4" borderId="4" xfId="3" applyNumberFormat="1" applyFont="1" applyFill="1" applyBorder="1"/>
    <xf numFmtId="6" fontId="10" fillId="0" borderId="4" xfId="3" applyNumberFormat="1" applyFont="1" applyBorder="1"/>
    <xf numFmtId="6" fontId="10" fillId="0" borderId="4" xfId="3" applyNumberFormat="1" applyFont="1" applyFill="1" applyBorder="1"/>
    <xf numFmtId="0" fontId="10" fillId="0" borderId="0" xfId="3" applyFont="1"/>
    <xf numFmtId="0" fontId="10" fillId="5" borderId="8" xfId="3" applyFont="1" applyFill="1" applyBorder="1"/>
    <xf numFmtId="38" fontId="1" fillId="5" borderId="1" xfId="3" applyNumberFormat="1" applyFont="1" applyFill="1" applyBorder="1"/>
    <xf numFmtId="0" fontId="10" fillId="5" borderId="0" xfId="3" applyFont="1" applyFill="1"/>
    <xf numFmtId="10" fontId="1" fillId="6" borderId="0" xfId="2" applyNumberFormat="1" applyFont="1" applyFill="1"/>
    <xf numFmtId="0" fontId="1" fillId="6" borderId="0" xfId="3" applyFont="1" applyFill="1"/>
    <xf numFmtId="166" fontId="1" fillId="4" borderId="0" xfId="1" applyNumberFormat="1" applyFont="1" applyFill="1" applyBorder="1"/>
    <xf numFmtId="166" fontId="1" fillId="0" borderId="0" xfId="1" applyNumberFormat="1" applyFont="1" applyFill="1" applyBorder="1"/>
    <xf numFmtId="164" fontId="1" fillId="0" borderId="0" xfId="3" applyNumberFormat="1" applyFont="1"/>
    <xf numFmtId="0" fontId="1" fillId="0" borderId="0" xfId="3" applyFont="1" applyFill="1"/>
    <xf numFmtId="0" fontId="1" fillId="0" borderId="0" xfId="3" applyFont="1" applyFill="1" applyBorder="1" applyAlignment="1">
      <alignment horizontal="left" vertical="center" wrapText="1"/>
    </xf>
    <xf numFmtId="0" fontId="1" fillId="0" borderId="0" xfId="3" applyFont="1" applyFill="1" applyBorder="1"/>
    <xf numFmtId="0" fontId="1" fillId="0" borderId="0" xfId="3" applyFont="1" applyFill="1" applyBorder="1" applyAlignment="1">
      <alignment horizontal="left" vertical="center"/>
    </xf>
    <xf numFmtId="0" fontId="1" fillId="4" borderId="4" xfId="3" applyFont="1" applyFill="1" applyBorder="1"/>
    <xf numFmtId="0" fontId="1" fillId="0" borderId="4" xfId="3" applyFont="1" applyBorder="1"/>
    <xf numFmtId="0" fontId="1" fillId="0" borderId="4" xfId="3" applyFont="1" applyFill="1" applyBorder="1"/>
    <xf numFmtId="6" fontId="1" fillId="0" borderId="0" xfId="3" applyNumberFormat="1" applyFont="1"/>
    <xf numFmtId="6" fontId="10" fillId="5" borderId="4" xfId="3" applyNumberFormat="1" applyFont="1" applyFill="1" applyBorder="1"/>
    <xf numFmtId="6" fontId="1" fillId="5" borderId="0" xfId="3" applyNumberFormat="1" applyFont="1" applyFill="1"/>
    <xf numFmtId="0" fontId="1" fillId="0" borderId="0" xfId="3" applyFont="1" applyBorder="1"/>
    <xf numFmtId="0" fontId="1" fillId="0" borderId="11" xfId="3" applyFont="1" applyBorder="1"/>
    <xf numFmtId="38" fontId="1" fillId="4" borderId="12" xfId="3" applyNumberFormat="1" applyFont="1" applyFill="1" applyBorder="1"/>
    <xf numFmtId="38" fontId="1" fillId="0" borderId="12" xfId="3" applyNumberFormat="1" applyFont="1" applyBorder="1"/>
    <xf numFmtId="38" fontId="1" fillId="0" borderId="12" xfId="3" applyNumberFormat="1" applyFont="1" applyFill="1" applyBorder="1"/>
    <xf numFmtId="0" fontId="1" fillId="5" borderId="11" xfId="3" applyFont="1" applyFill="1" applyBorder="1"/>
    <xf numFmtId="38" fontId="1" fillId="5" borderId="12" xfId="3" applyNumberFormat="1" applyFont="1" applyFill="1" applyBorder="1"/>
    <xf numFmtId="9" fontId="1" fillId="5" borderId="0" xfId="2" applyFont="1" applyFill="1"/>
    <xf numFmtId="6" fontId="10" fillId="5" borderId="10" xfId="3" applyNumberFormat="1" applyFont="1" applyFill="1" applyBorder="1"/>
    <xf numFmtId="0" fontId="10" fillId="0" borderId="0" xfId="3" applyFont="1" applyBorder="1"/>
    <xf numFmtId="43" fontId="1" fillId="0" borderId="0" xfId="1" applyFont="1" applyFill="1" applyBorder="1"/>
    <xf numFmtId="166" fontId="1" fillId="0" borderId="4" xfId="1" applyNumberFormat="1" applyFont="1" applyFill="1" applyBorder="1"/>
    <xf numFmtId="165" fontId="1" fillId="0" borderId="0" xfId="1" applyNumberFormat="1" applyFont="1"/>
    <xf numFmtId="0" fontId="1" fillId="0" borderId="0" xfId="3" applyFont="1" applyAlignment="1">
      <alignment horizontal="center"/>
    </xf>
    <xf numFmtId="0" fontId="1" fillId="4" borderId="0" xfId="3" applyFont="1" applyFill="1"/>
    <xf numFmtId="38" fontId="1" fillId="0" borderId="6" xfId="3" applyNumberFormat="1" applyFont="1" applyFill="1" applyBorder="1"/>
    <xf numFmtId="38" fontId="1" fillId="4" borderId="6" xfId="3" applyNumberFormat="1" applyFont="1" applyFill="1" applyBorder="1"/>
    <xf numFmtId="0" fontId="10" fillId="0" borderId="13" xfId="3" applyFont="1" applyBorder="1"/>
    <xf numFmtId="38" fontId="1" fillId="0" borderId="14" xfId="3" applyNumberFormat="1" applyFont="1" applyBorder="1"/>
    <xf numFmtId="38" fontId="1" fillId="4" borderId="14" xfId="3" applyNumberFormat="1" applyFont="1" applyFill="1" applyBorder="1"/>
    <xf numFmtId="38" fontId="1" fillId="0" borderId="14" xfId="3" applyNumberFormat="1" applyFont="1" applyFill="1" applyBorder="1"/>
    <xf numFmtId="166" fontId="1" fillId="5" borderId="0" xfId="1" applyNumberFormat="1" applyFont="1" applyFill="1"/>
    <xf numFmtId="166" fontId="1" fillId="2" borderId="0" xfId="1" applyNumberFormat="1" applyFont="1" applyFill="1"/>
    <xf numFmtId="0" fontId="1" fillId="2" borderId="0" xfId="3" applyFont="1" applyFill="1"/>
    <xf numFmtId="43" fontId="1" fillId="0" borderId="0" xfId="1" applyFont="1" applyBorder="1"/>
    <xf numFmtId="164" fontId="1" fillId="0" borderId="0" xfId="1" applyNumberFormat="1" applyFont="1"/>
    <xf numFmtId="43" fontId="1" fillId="0" borderId="0" xfId="1" applyFont="1"/>
    <xf numFmtId="0" fontId="1" fillId="7" borderId="0" xfId="3" applyFont="1" applyFill="1"/>
    <xf numFmtId="0" fontId="1" fillId="0" borderId="0" xfId="3" applyAlignment="1">
      <alignment horizontal="left" vertical="center" wrapText="1"/>
    </xf>
    <xf numFmtId="0" fontId="1" fillId="0" borderId="0" xfId="3" applyAlignment="1">
      <alignment wrapText="1"/>
    </xf>
    <xf numFmtId="0" fontId="1" fillId="0" borderId="4" xfId="3" applyFont="1" applyBorder="1" applyAlignment="1">
      <alignment horizontal="right"/>
    </xf>
    <xf numFmtId="0" fontId="10" fillId="0" borderId="0" xfId="3" applyFont="1" applyBorder="1" applyAlignment="1">
      <alignment horizontal="left" vertical="center"/>
    </xf>
    <xf numFmtId="0" fontId="1" fillId="0" borderId="0" xfId="3" applyFont="1" applyBorder="1" applyAlignment="1">
      <alignment horizontal="right"/>
    </xf>
    <xf numFmtId="3" fontId="1" fillId="0" borderId="0" xfId="3" applyNumberFormat="1" applyFont="1" applyBorder="1" applyAlignment="1">
      <alignment horizontal="right"/>
    </xf>
    <xf numFmtId="0" fontId="1" fillId="7" borderId="4" xfId="3" applyFont="1" applyFill="1" applyBorder="1"/>
    <xf numFmtId="167" fontId="1" fillId="0" borderId="0" xfId="3" applyNumberFormat="1" applyFont="1" applyFill="1"/>
    <xf numFmtId="3" fontId="1" fillId="0" borderId="0" xfId="3" applyNumberFormat="1" applyFont="1"/>
    <xf numFmtId="166" fontId="1" fillId="0" borderId="0" xfId="1" applyNumberFormat="1" applyFont="1"/>
    <xf numFmtId="38" fontId="1" fillId="0" borderId="0" xfId="3" applyNumberFormat="1" applyFont="1" applyFill="1"/>
    <xf numFmtId="6" fontId="10" fillId="7" borderId="4" xfId="3" applyNumberFormat="1" applyFont="1" applyFill="1" applyBorder="1"/>
    <xf numFmtId="38" fontId="1" fillId="0" borderId="6" xfId="3" applyNumberFormat="1" applyFont="1" applyBorder="1"/>
    <xf numFmtId="38" fontId="1" fillId="7" borderId="4" xfId="3" applyNumberFormat="1" applyFont="1" applyFill="1" applyBorder="1"/>
    <xf numFmtId="0" fontId="1" fillId="7" borderId="1" xfId="3" applyFont="1" applyFill="1" applyBorder="1"/>
    <xf numFmtId="38" fontId="1" fillId="7" borderId="1" xfId="3" applyNumberFormat="1" applyFont="1" applyFill="1" applyBorder="1"/>
    <xf numFmtId="38" fontId="1" fillId="7" borderId="10" xfId="3" applyNumberFormat="1" applyFont="1" applyFill="1" applyBorder="1"/>
    <xf numFmtId="0" fontId="10" fillId="5" borderId="9" xfId="3" applyFont="1" applyFill="1" applyBorder="1"/>
    <xf numFmtId="0" fontId="1" fillId="0" borderId="8" xfId="3" applyFont="1" applyBorder="1"/>
    <xf numFmtId="38" fontId="10" fillId="0" borderId="0" xfId="3" applyNumberFormat="1" applyFont="1"/>
    <xf numFmtId="0" fontId="10" fillId="2" borderId="0" xfId="3" applyFont="1" applyFill="1"/>
    <xf numFmtId="43" fontId="10" fillId="0" borderId="0" xfId="1" applyFont="1" applyBorder="1"/>
    <xf numFmtId="43" fontId="10" fillId="7" borderId="0" xfId="1" applyFont="1" applyFill="1" applyBorder="1"/>
    <xf numFmtId="164" fontId="10" fillId="0" borderId="0" xfId="3" applyNumberFormat="1" applyFont="1"/>
    <xf numFmtId="43" fontId="1" fillId="0" borderId="0" xfId="1" applyFont="1" applyFill="1"/>
    <xf numFmtId="43" fontId="1" fillId="7" borderId="0" xfId="1" applyFont="1" applyFill="1"/>
    <xf numFmtId="0" fontId="11" fillId="0" borderId="0" xfId="3" applyFont="1" applyFill="1" applyBorder="1" applyAlignment="1">
      <alignment horizontal="left" vertical="center"/>
    </xf>
    <xf numFmtId="0" fontId="1" fillId="7" borderId="0" xfId="3" applyFont="1" applyFill="1" applyBorder="1" applyAlignment="1">
      <alignment horizontal="left" vertical="center"/>
    </xf>
    <xf numFmtId="38" fontId="1" fillId="0" borderId="7" xfId="3" applyNumberFormat="1" applyFont="1" applyBorder="1"/>
    <xf numFmtId="43" fontId="1" fillId="4" borderId="0" xfId="1" applyFont="1" applyFill="1"/>
    <xf numFmtId="166" fontId="1" fillId="0" borderId="4" xfId="1" applyNumberFormat="1" applyFont="1" applyBorder="1"/>
    <xf numFmtId="166" fontId="1" fillId="7" borderId="4" xfId="1" applyNumberFormat="1" applyFont="1" applyFill="1" applyBorder="1"/>
    <xf numFmtId="0" fontId="1" fillId="0" borderId="0" xfId="3" applyFont="1" applyAlignment="1">
      <alignment vertical="center"/>
    </xf>
    <xf numFmtId="167" fontId="1" fillId="0" borderId="0" xfId="3" applyNumberFormat="1" applyFont="1"/>
    <xf numFmtId="43" fontId="10" fillId="5" borderId="0" xfId="1" applyFont="1" applyFill="1"/>
    <xf numFmtId="166" fontId="10" fillId="0" borderId="0" xfId="1" applyNumberFormat="1" applyFont="1"/>
    <xf numFmtId="10" fontId="1" fillId="0" borderId="0" xfId="2" applyNumberFormat="1" applyFont="1"/>
    <xf numFmtId="43" fontId="10" fillId="0" borderId="0" xfId="1" applyFont="1"/>
    <xf numFmtId="166" fontId="10" fillId="5" borderId="0" xfId="1" applyNumberFormat="1" applyFont="1" applyFill="1"/>
    <xf numFmtId="43" fontId="1" fillId="5" borderId="0" xfId="1" applyFont="1" applyFill="1"/>
    <xf numFmtId="10" fontId="10" fillId="2" borderId="0" xfId="3" applyNumberFormat="1" applyFont="1" applyFill="1"/>
    <xf numFmtId="10" fontId="1" fillId="0" borderId="0" xfId="1" applyNumberFormat="1" applyFont="1"/>
    <xf numFmtId="10" fontId="1" fillId="0" borderId="0" xfId="3" applyNumberFormat="1" applyFont="1"/>
    <xf numFmtId="10" fontId="1" fillId="2" borderId="0" xfId="2" applyNumberFormat="1" applyFont="1" applyFill="1"/>
    <xf numFmtId="168" fontId="1" fillId="0" borderId="0" xfId="3" applyNumberFormat="1" applyFont="1"/>
    <xf numFmtId="0" fontId="1" fillId="0" borderId="7" xfId="3" applyFont="1" applyFill="1" applyBorder="1"/>
    <xf numFmtId="38" fontId="10" fillId="5" borderId="4" xfId="3" applyNumberFormat="1" applyFont="1" applyFill="1" applyBorder="1"/>
    <xf numFmtId="43" fontId="10" fillId="0" borderId="0" xfId="1" applyFont="1" applyFill="1" applyBorder="1"/>
    <xf numFmtId="166" fontId="1" fillId="0" borderId="0" xfId="1" applyNumberFormat="1" applyFont="1" applyAlignment="1">
      <alignment horizontal="center"/>
    </xf>
    <xf numFmtId="166" fontId="1" fillId="0" borderId="0" xfId="3" applyNumberFormat="1" applyFont="1"/>
    <xf numFmtId="10" fontId="12" fillId="0" borderId="0" xfId="2" applyNumberFormat="1" applyFont="1"/>
    <xf numFmtId="0" fontId="1" fillId="0" borderId="0" xfId="3" applyFont="1" applyBorder="1" applyAlignment="1">
      <alignment horizontal="center" vertical="top" wrapText="1"/>
    </xf>
    <xf numFmtId="0" fontId="1" fillId="0" borderId="0" xfId="3" applyFont="1" applyFill="1" applyBorder="1" applyAlignment="1">
      <alignment horizontal="center" vertical="top" wrapText="1"/>
    </xf>
    <xf numFmtId="166" fontId="1" fillId="5" borderId="0" xfId="3" applyNumberFormat="1" applyFont="1" applyFill="1"/>
    <xf numFmtId="38" fontId="1" fillId="7" borderId="14" xfId="3" applyNumberFormat="1" applyFont="1" applyFill="1" applyBorder="1"/>
    <xf numFmtId="166" fontId="10" fillId="0" borderId="0" xfId="1" applyNumberFormat="1" applyFont="1" applyAlignment="1">
      <alignment horizontal="left"/>
    </xf>
    <xf numFmtId="6" fontId="10" fillId="5" borderId="0" xfId="3" applyNumberFormat="1" applyFont="1" applyFill="1" applyBorder="1"/>
    <xf numFmtId="165" fontId="1" fillId="0" borderId="0" xfId="3" applyNumberFormat="1" applyFont="1"/>
    <xf numFmtId="38" fontId="1" fillId="9" borderId="4" xfId="3" applyNumberFormat="1" applyFont="1" applyFill="1" applyBorder="1"/>
    <xf numFmtId="0" fontId="1" fillId="0" borderId="0" xfId="3" applyFont="1" applyFill="1" applyBorder="1" applyAlignment="1">
      <alignment vertical="center"/>
    </xf>
    <xf numFmtId="0" fontId="1" fillId="0" borderId="0" xfId="3" applyAlignment="1">
      <alignment horizontal="left"/>
    </xf>
    <xf numFmtId="0" fontId="1" fillId="0" borderId="0" xfId="3" applyFont="1" applyAlignment="1">
      <alignment horizontal="left"/>
    </xf>
    <xf numFmtId="0" fontId="10" fillId="0" borderId="0" xfId="3" applyFont="1"/>
    <xf numFmtId="43" fontId="1" fillId="0" borderId="0" xfId="1" applyFont="1" applyBorder="1" applyAlignment="1"/>
    <xf numFmtId="0" fontId="1" fillId="0" borderId="0" xfId="3" applyFont="1" applyAlignment="1"/>
    <xf numFmtId="43" fontId="1" fillId="0" borderId="0" xfId="1" applyFont="1" applyBorder="1" applyAlignment="1">
      <alignment horizontal="left"/>
    </xf>
    <xf numFmtId="0" fontId="1" fillId="0" borderId="0" xfId="3" applyFill="1" applyAlignment="1"/>
    <xf numFmtId="0" fontId="1" fillId="0" borderId="0" xfId="3" applyFont="1" applyFill="1" applyAlignment="1"/>
    <xf numFmtId="0" fontId="1" fillId="0" borderId="0" xfId="3" applyFill="1" applyAlignment="1">
      <alignment horizontal="left" vertical="center"/>
    </xf>
    <xf numFmtId="0" fontId="1" fillId="0" borderId="0" xfId="3" applyFill="1" applyAlignment="1">
      <alignment horizontal="left"/>
    </xf>
    <xf numFmtId="0" fontId="1" fillId="7" borderId="0" xfId="3" applyFont="1" applyFill="1" applyBorder="1" applyAlignment="1">
      <alignment horizontal="left"/>
    </xf>
    <xf numFmtId="166" fontId="1" fillId="0" borderId="0" xfId="1" applyNumberFormat="1" applyFont="1" applyFill="1" applyBorder="1" applyAlignment="1">
      <alignment horizontal="left"/>
    </xf>
    <xf numFmtId="0" fontId="1" fillId="4" borderId="8" xfId="3" applyFont="1" applyFill="1" applyBorder="1" applyAlignment="1"/>
    <xf numFmtId="6" fontId="4" fillId="0" borderId="4" xfId="3" applyNumberFormat="1" applyFont="1" applyFill="1" applyBorder="1" applyAlignment="1">
      <alignment vertical="center"/>
    </xf>
    <xf numFmtId="0" fontId="10" fillId="3" borderId="0" xfId="3" applyFont="1" applyFill="1"/>
    <xf numFmtId="0" fontId="1" fillId="3" borderId="0" xfId="3" applyFont="1" applyFill="1"/>
    <xf numFmtId="0" fontId="19" fillId="3" borderId="15" xfId="0" applyFont="1" applyFill="1" applyBorder="1"/>
    <xf numFmtId="0" fontId="20" fillId="3" borderId="3" xfId="0" applyFont="1" applyFill="1" applyBorder="1" applyAlignment="1">
      <alignment wrapText="1"/>
    </xf>
    <xf numFmtId="9" fontId="1" fillId="3" borderId="3" xfId="2" applyFont="1" applyFill="1" applyBorder="1"/>
    <xf numFmtId="9" fontId="1" fillId="3" borderId="7" xfId="2" applyFont="1" applyFill="1" applyBorder="1"/>
    <xf numFmtId="0" fontId="10" fillId="3" borderId="15" xfId="3" applyFont="1" applyFill="1" applyBorder="1"/>
    <xf numFmtId="0" fontId="1" fillId="3" borderId="3" xfId="3" applyFont="1" applyFill="1" applyBorder="1"/>
    <xf numFmtId="43" fontId="1" fillId="3" borderId="3" xfId="1" applyFont="1" applyFill="1" applyBorder="1"/>
    <xf numFmtId="166" fontId="1" fillId="3" borderId="3" xfId="1" applyNumberFormat="1" applyFont="1" applyFill="1" applyBorder="1"/>
    <xf numFmtId="43" fontId="1" fillId="3" borderId="7" xfId="1" applyFont="1" applyFill="1" applyBorder="1"/>
    <xf numFmtId="166" fontId="1" fillId="0" borderId="6" xfId="1" applyNumberFormat="1" applyFont="1" applyFill="1" applyBorder="1"/>
    <xf numFmtId="0" fontId="1" fillId="3" borderId="15" xfId="3" applyFont="1" applyFill="1" applyBorder="1"/>
    <xf numFmtId="0" fontId="1" fillId="3" borderId="7" xfId="3" applyFont="1" applyFill="1" applyBorder="1"/>
    <xf numFmtId="3" fontId="1" fillId="0" borderId="4" xfId="3" applyNumberFormat="1" applyFont="1" applyFill="1" applyBorder="1"/>
    <xf numFmtId="166" fontId="1" fillId="3" borderId="0" xfId="1" applyNumberFormat="1" applyFont="1" applyFill="1"/>
    <xf numFmtId="165" fontId="1" fillId="3" borderId="0" xfId="1" applyNumberFormat="1" applyFont="1" applyFill="1"/>
    <xf numFmtId="43" fontId="1" fillId="3" borderId="0" xfId="1" applyFont="1" applyFill="1"/>
    <xf numFmtId="43" fontId="10" fillId="3" borderId="0" xfId="1" applyFont="1" applyFill="1"/>
    <xf numFmtId="3" fontId="1" fillId="3" borderId="3" xfId="3" applyNumberFormat="1" applyFont="1" applyFill="1" applyBorder="1" applyAlignment="1">
      <alignment horizontal="right"/>
    </xf>
    <xf numFmtId="0" fontId="1" fillId="3" borderId="3" xfId="3" applyFont="1" applyFill="1" applyBorder="1" applyAlignment="1">
      <alignment horizontal="right"/>
    </xf>
    <xf numFmtId="0" fontId="1" fillId="3" borderId="7" xfId="3" applyFont="1" applyFill="1" applyBorder="1" applyAlignment="1">
      <alignment horizontal="right"/>
    </xf>
    <xf numFmtId="166" fontId="1" fillId="3" borderId="7" xfId="1" applyNumberFormat="1" applyFont="1" applyFill="1" applyBorder="1"/>
    <xf numFmtId="3" fontId="1" fillId="0" borderId="4" xfId="3" applyNumberFormat="1" applyFont="1" applyBorder="1"/>
    <xf numFmtId="3" fontId="1" fillId="7" borderId="4" xfId="3" applyNumberFormat="1" applyFont="1" applyFill="1" applyBorder="1"/>
    <xf numFmtId="9" fontId="4" fillId="0" borderId="4" xfId="3" applyNumberFormat="1" applyFont="1" applyBorder="1" applyAlignment="1">
      <alignment vertical="center"/>
    </xf>
    <xf numFmtId="164" fontId="7" fillId="0" borderId="4" xfId="3" applyNumberFormat="1" applyFont="1" applyBorder="1" applyAlignment="1">
      <alignment vertical="center"/>
    </xf>
    <xf numFmtId="9" fontId="7" fillId="0" borderId="4" xfId="3" applyNumberFormat="1" applyFont="1" applyBorder="1" applyAlignment="1">
      <alignment vertical="center"/>
    </xf>
    <xf numFmtId="0" fontId="21" fillId="0" borderId="1" xfId="3" applyFont="1" applyFill="1" applyBorder="1" applyAlignment="1">
      <alignment horizontal="center" vertical="center"/>
    </xf>
    <xf numFmtId="0" fontId="21" fillId="0" borderId="2" xfId="3" applyFont="1" applyFill="1" applyBorder="1" applyAlignment="1">
      <alignment horizontal="center" vertical="center"/>
    </xf>
    <xf numFmtId="6" fontId="1" fillId="7" borderId="4" xfId="3" applyNumberFormat="1" applyFont="1" applyFill="1" applyBorder="1"/>
    <xf numFmtId="38" fontId="1" fillId="7" borderId="6" xfId="3" applyNumberFormat="1" applyFont="1" applyFill="1" applyBorder="1"/>
    <xf numFmtId="6" fontId="10" fillId="7" borderId="10" xfId="3" applyNumberFormat="1" applyFont="1" applyFill="1" applyBorder="1"/>
    <xf numFmtId="38" fontId="1" fillId="7" borderId="12" xfId="3" applyNumberFormat="1" applyFont="1" applyFill="1" applyBorder="1"/>
    <xf numFmtId="9" fontId="1" fillId="7" borderId="3" xfId="2" applyFont="1" applyFill="1" applyBorder="1"/>
    <xf numFmtId="43" fontId="1" fillId="7" borderId="3" xfId="1" applyFont="1" applyFill="1" applyBorder="1"/>
    <xf numFmtId="0" fontId="1" fillId="7" borderId="3" xfId="3" applyFont="1" applyFill="1" applyBorder="1"/>
    <xf numFmtId="43" fontId="1" fillId="7" borderId="0" xfId="1" applyFont="1" applyFill="1" applyBorder="1"/>
    <xf numFmtId="0" fontId="18" fillId="0" borderId="0" xfId="3" applyFont="1" applyFill="1" applyBorder="1" applyAlignment="1">
      <alignment horizontal="left" vertical="center"/>
    </xf>
    <xf numFmtId="0" fontId="18" fillId="0" borderId="0" xfId="3" applyFont="1" applyFill="1" applyBorder="1" applyAlignment="1">
      <alignment vertical="center"/>
    </xf>
    <xf numFmtId="0" fontId="27" fillId="0" borderId="0" xfId="3" applyFont="1" applyFill="1" applyBorder="1" applyAlignment="1">
      <alignment horizontal="left" vertical="center" wrapText="1"/>
    </xf>
    <xf numFmtId="0" fontId="28" fillId="0" borderId="0" xfId="3" applyFont="1" applyFill="1" applyBorder="1" applyAlignment="1">
      <alignment horizontal="left" vertical="center"/>
    </xf>
    <xf numFmtId="43" fontId="1" fillId="0" borderId="17" xfId="1" applyFont="1" applyFill="1" applyBorder="1"/>
    <xf numFmtId="0" fontId="1" fillId="0" borderId="0" xfId="3" applyFill="1" applyBorder="1" applyAlignment="1">
      <alignment horizontal="left"/>
    </xf>
    <xf numFmtId="0" fontId="1" fillId="7" borderId="0" xfId="3" applyFont="1" applyFill="1" applyBorder="1"/>
    <xf numFmtId="0" fontId="1" fillId="0" borderId="0" xfId="3" applyFont="1" applyFill="1" applyBorder="1" applyAlignment="1">
      <alignment horizontal="left"/>
    </xf>
    <xf numFmtId="0" fontId="1" fillId="0" borderId="14" xfId="3" applyFont="1" applyBorder="1"/>
    <xf numFmtId="0" fontId="1" fillId="4" borderId="14" xfId="3" applyFont="1" applyFill="1" applyBorder="1"/>
    <xf numFmtId="3" fontId="1" fillId="0" borderId="0" xfId="3" applyNumberFormat="1" applyFont="1" applyFill="1" applyBorder="1" applyAlignment="1">
      <alignment horizontal="right"/>
    </xf>
    <xf numFmtId="0" fontId="1" fillId="0" borderId="0" xfId="3" applyFont="1" applyFill="1" applyBorder="1" applyAlignment="1"/>
    <xf numFmtId="0" fontId="10" fillId="0" borderId="0" xfId="3" applyFont="1" applyFill="1" applyBorder="1"/>
    <xf numFmtId="38" fontId="1" fillId="5" borderId="15" xfId="3" applyNumberFormat="1" applyFont="1" applyFill="1" applyBorder="1"/>
    <xf numFmtId="0" fontId="1" fillId="6" borderId="7" xfId="3" applyFont="1" applyFill="1" applyBorder="1"/>
    <xf numFmtId="6" fontId="10" fillId="6" borderId="4" xfId="3" applyNumberFormat="1" applyFont="1" applyFill="1" applyBorder="1"/>
    <xf numFmtId="6" fontId="1" fillId="6" borderId="0" xfId="3" applyNumberFormat="1" applyFont="1" applyFill="1"/>
    <xf numFmtId="164" fontId="1" fillId="0" borderId="0" xfId="3" applyNumberFormat="1" applyFont="1" applyFill="1"/>
    <xf numFmtId="164" fontId="1" fillId="0" borderId="0" xfId="1" applyNumberFormat="1" applyFont="1" applyFill="1"/>
    <xf numFmtId="10" fontId="10" fillId="6" borderId="0" xfId="2" applyNumberFormat="1" applyFont="1" applyFill="1"/>
    <xf numFmtId="0" fontId="10" fillId="6" borderId="0" xfId="3" applyFont="1" applyFill="1"/>
    <xf numFmtId="164" fontId="10" fillId="6" borderId="0" xfId="3" applyNumberFormat="1" applyFont="1" applyFill="1"/>
    <xf numFmtId="164" fontId="1" fillId="6" borderId="0" xfId="3" applyNumberFormat="1" applyFont="1" applyFill="1"/>
    <xf numFmtId="166" fontId="10" fillId="6" borderId="0" xfId="1" applyNumberFormat="1" applyFont="1" applyFill="1"/>
    <xf numFmtId="0" fontId="11" fillId="0" borderId="0" xfId="3" applyFont="1" applyFill="1" applyBorder="1" applyAlignment="1">
      <alignment horizontal="left"/>
    </xf>
    <xf numFmtId="0" fontId="1" fillId="0" borderId="0" xfId="3" applyFont="1" applyBorder="1" applyAlignment="1">
      <alignment horizontal="left"/>
    </xf>
    <xf numFmtId="0" fontId="1" fillId="0" borderId="0" xfId="3" applyBorder="1" applyAlignment="1">
      <alignment horizontal="left" vertical="center"/>
    </xf>
    <xf numFmtId="0" fontId="1" fillId="0" borderId="0" xfId="3" applyBorder="1" applyAlignment="1">
      <alignment horizontal="left"/>
    </xf>
    <xf numFmtId="0" fontId="10" fillId="0" borderId="8" xfId="3" applyFont="1" applyFill="1" applyBorder="1"/>
    <xf numFmtId="8" fontId="1" fillId="0" borderId="0" xfId="3" applyNumberFormat="1" applyFont="1" applyFill="1"/>
    <xf numFmtId="0" fontId="10" fillId="0" borderId="0" xfId="3" applyFont="1" applyFill="1"/>
    <xf numFmtId="166" fontId="1" fillId="0" borderId="0" xfId="1" applyNumberFormat="1" applyFont="1" applyFill="1"/>
    <xf numFmtId="38" fontId="10" fillId="0" borderId="0" xfId="3" applyNumberFormat="1" applyFont="1" applyFill="1"/>
    <xf numFmtId="0" fontId="1" fillId="0" borderId="0" xfId="3" applyFont="1" applyFill="1" applyBorder="1" applyAlignment="1">
      <alignment horizontal="right"/>
    </xf>
    <xf numFmtId="6" fontId="10" fillId="0" borderId="0" xfId="1" applyNumberFormat="1" applyFont="1" applyBorder="1"/>
    <xf numFmtId="166" fontId="10" fillId="0" borderId="0" xfId="1" applyNumberFormat="1" applyFont="1" applyFill="1"/>
    <xf numFmtId="165" fontId="1" fillId="0" borderId="0" xfId="1" applyNumberFormat="1" applyFont="1" applyBorder="1"/>
    <xf numFmtId="43" fontId="10" fillId="0" borderId="0" xfId="1" applyNumberFormat="1" applyFont="1" applyBorder="1"/>
    <xf numFmtId="166" fontId="1" fillId="0" borderId="0" xfId="1" applyNumberFormat="1" applyFont="1" applyBorder="1"/>
    <xf numFmtId="6" fontId="1" fillId="0" borderId="1" xfId="3" applyNumberFormat="1" applyFont="1" applyBorder="1"/>
    <xf numFmtId="0" fontId="1" fillId="0" borderId="0" xfId="3" applyAlignment="1"/>
    <xf numFmtId="0" fontId="26" fillId="10" borderId="1" xfId="3" applyFont="1" applyFill="1" applyBorder="1" applyAlignment="1">
      <alignment horizontal="center" vertical="top" wrapText="1"/>
    </xf>
    <xf numFmtId="0" fontId="25" fillId="10" borderId="12" xfId="3" applyFont="1" applyFill="1" applyBorder="1" applyAlignment="1">
      <alignment horizontal="center" vertical="top" wrapText="1"/>
    </xf>
    <xf numFmtId="0" fontId="1" fillId="10" borderId="12" xfId="3" applyFont="1" applyFill="1" applyBorder="1" applyAlignment="1">
      <alignment horizontal="center" vertical="top" wrapText="1"/>
    </xf>
    <xf numFmtId="0" fontId="10" fillId="0" borderId="2" xfId="3" applyFont="1" applyBorder="1"/>
    <xf numFmtId="0" fontId="10" fillId="0" borderId="15" xfId="3" applyFont="1" applyBorder="1"/>
    <xf numFmtId="0" fontId="10" fillId="5" borderId="19" xfId="3" applyFont="1" applyFill="1" applyBorder="1"/>
    <xf numFmtId="0" fontId="10" fillId="5" borderId="2" xfId="3" applyFont="1" applyFill="1" applyBorder="1"/>
    <xf numFmtId="0" fontId="1" fillId="5" borderId="15" xfId="3" applyFont="1" applyFill="1" applyBorder="1"/>
    <xf numFmtId="0" fontId="1" fillId="5" borderId="19" xfId="3" applyFont="1" applyFill="1" applyBorder="1"/>
    <xf numFmtId="0" fontId="1" fillId="0" borderId="15" xfId="3" applyFont="1" applyBorder="1"/>
    <xf numFmtId="0" fontId="1" fillId="5" borderId="2" xfId="3" applyFont="1" applyFill="1" applyBorder="1"/>
    <xf numFmtId="0" fontId="10" fillId="0" borderId="2" xfId="3" applyFont="1" applyFill="1" applyBorder="1"/>
    <xf numFmtId="0" fontId="10" fillId="6" borderId="15" xfId="3" applyFont="1" applyFill="1" applyBorder="1"/>
    <xf numFmtId="164" fontId="10" fillId="6" borderId="4" xfId="2" applyNumberFormat="1" applyFont="1" applyFill="1" applyBorder="1"/>
    <xf numFmtId="164" fontId="26" fillId="10" borderId="20" xfId="3" applyNumberFormat="1" applyFont="1" applyFill="1" applyBorder="1"/>
    <xf numFmtId="164" fontId="26" fillId="10" borderId="12" xfId="3" applyNumberFormat="1" applyFont="1" applyFill="1" applyBorder="1"/>
    <xf numFmtId="164" fontId="13" fillId="10" borderId="12" xfId="3" applyNumberFormat="1" applyFont="1" applyFill="1" applyBorder="1"/>
    <xf numFmtId="0" fontId="10" fillId="5" borderId="15" xfId="3" applyFont="1" applyFill="1" applyBorder="1"/>
    <xf numFmtId="0" fontId="1" fillId="0" borderId="16" xfId="3" applyFont="1" applyBorder="1"/>
    <xf numFmtId="0" fontId="1" fillId="7" borderId="12" xfId="3" applyFont="1" applyFill="1" applyBorder="1" applyAlignment="1">
      <alignment horizontal="center" vertical="top" wrapText="1"/>
    </xf>
    <xf numFmtId="0" fontId="10" fillId="0" borderId="21" xfId="3" applyFont="1" applyBorder="1"/>
    <xf numFmtId="0" fontId="1" fillId="0" borderId="14" xfId="3" applyFont="1" applyFill="1" applyBorder="1"/>
    <xf numFmtId="164" fontId="10" fillId="6" borderId="4" xfId="3" applyNumberFormat="1" applyFont="1" applyFill="1" applyBorder="1"/>
    <xf numFmtId="164" fontId="10" fillId="6" borderId="4" xfId="3" applyNumberFormat="1" applyFont="1" applyFill="1" applyBorder="1" applyAlignment="1">
      <alignment horizontal="center"/>
    </xf>
    <xf numFmtId="0" fontId="14" fillId="10" borderId="12" xfId="3" applyFont="1" applyFill="1" applyBorder="1" applyAlignment="1">
      <alignment horizontal="center" vertical="top" wrapText="1"/>
    </xf>
    <xf numFmtId="164" fontId="10" fillId="6" borderId="1" xfId="3" applyNumberFormat="1" applyFont="1" applyFill="1" applyBorder="1"/>
    <xf numFmtId="164" fontId="10" fillId="6" borderId="1" xfId="5" applyNumberFormat="1" applyFont="1" applyFill="1" applyBorder="1"/>
    <xf numFmtId="164" fontId="10" fillId="6" borderId="4" xfId="5" applyNumberFormat="1" applyFont="1" applyFill="1" applyBorder="1"/>
    <xf numFmtId="0" fontId="1" fillId="4" borderId="16" xfId="3" applyFont="1" applyFill="1" applyBorder="1" applyAlignment="1"/>
    <xf numFmtId="0" fontId="1" fillId="4" borderId="11" xfId="3" applyFont="1" applyFill="1" applyBorder="1" applyAlignment="1"/>
    <xf numFmtId="0" fontId="1" fillId="4" borderId="2" xfId="3" applyFont="1" applyFill="1" applyBorder="1" applyAlignment="1"/>
    <xf numFmtId="38" fontId="1" fillId="6" borderId="4" xfId="3" applyNumberFormat="1" applyFont="1" applyFill="1" applyBorder="1"/>
    <xf numFmtId="3" fontId="1" fillId="0" borderId="22" xfId="9" applyNumberFormat="1" applyFont="1" applyFill="1" applyBorder="1" applyAlignment="1" applyProtection="1">
      <protection locked="0"/>
    </xf>
    <xf numFmtId="38" fontId="1" fillId="0" borderId="7" xfId="3" applyNumberFormat="1" applyFont="1" applyFill="1" applyBorder="1"/>
    <xf numFmtId="164" fontId="10" fillId="7" borderId="1" xfId="5" applyNumberFormat="1" applyFont="1" applyFill="1" applyBorder="1"/>
    <xf numFmtId="0" fontId="23" fillId="10" borderId="10" xfId="3" applyFont="1" applyFill="1" applyBorder="1" applyAlignment="1">
      <alignment vertical="center"/>
    </xf>
    <xf numFmtId="0" fontId="24" fillId="10" borderId="10" xfId="3" applyFont="1" applyFill="1" applyBorder="1" applyAlignment="1">
      <alignment horizontal="center" vertical="center"/>
    </xf>
    <xf numFmtId="0" fontId="24" fillId="10" borderId="9" xfId="3" applyFont="1" applyFill="1" applyBorder="1" applyAlignment="1">
      <alignment horizontal="center" vertical="center"/>
    </xf>
    <xf numFmtId="0" fontId="5" fillId="0" borderId="14" xfId="3" applyFont="1" applyBorder="1" applyAlignment="1">
      <alignment horizontal="center" vertical="center"/>
    </xf>
    <xf numFmtId="0" fontId="22" fillId="0" borderId="4" xfId="3" applyFont="1" applyFill="1" applyBorder="1" applyAlignment="1">
      <alignment horizontal="center" vertical="center"/>
    </xf>
    <xf numFmtId="0" fontId="5" fillId="5" borderId="1" xfId="3" applyFont="1" applyFill="1" applyBorder="1" applyAlignment="1">
      <alignment horizontal="left" vertical="center"/>
    </xf>
    <xf numFmtId="0" fontId="5" fillId="5" borderId="23" xfId="3" applyFont="1" applyFill="1" applyBorder="1" applyAlignment="1">
      <alignment horizontal="left" vertical="center" wrapText="1"/>
    </xf>
    <xf numFmtId="10" fontId="4" fillId="5" borderId="4" xfId="3" applyNumberFormat="1" applyFont="1" applyFill="1" applyBorder="1" applyAlignment="1">
      <alignment horizontal="center" vertical="center"/>
    </xf>
    <xf numFmtId="0" fontId="4" fillId="5" borderId="4" xfId="3" applyFont="1" applyFill="1" applyBorder="1" applyAlignment="1">
      <alignment horizontal="center" vertical="center"/>
    </xf>
    <xf numFmtId="0" fontId="5" fillId="5" borderId="4" xfId="3" applyFont="1" applyFill="1" applyBorder="1" applyAlignment="1">
      <alignment vertical="center"/>
    </xf>
    <xf numFmtId="0" fontId="5" fillId="5" borderId="12" xfId="3" applyFont="1" applyFill="1" applyBorder="1" applyAlignment="1">
      <alignment vertical="center"/>
    </xf>
    <xf numFmtId="0" fontId="5" fillId="5" borderId="2" xfId="3" applyFont="1" applyFill="1" applyBorder="1" applyAlignment="1">
      <alignment vertical="center" wrapText="1"/>
    </xf>
    <xf numFmtId="0" fontId="5" fillId="5" borderId="4" xfId="3" applyFont="1" applyFill="1" applyBorder="1" applyAlignment="1">
      <alignment vertical="center" wrapText="1"/>
    </xf>
    <xf numFmtId="0" fontId="18" fillId="5" borderId="8" xfId="3" applyFont="1" applyFill="1" applyBorder="1" applyAlignment="1">
      <alignment wrapText="1"/>
    </xf>
    <xf numFmtId="0" fontId="13" fillId="5" borderId="16" xfId="0" applyFont="1" applyFill="1" applyBorder="1"/>
    <xf numFmtId="0" fontId="19" fillId="5" borderId="11" xfId="0" applyFont="1" applyFill="1" applyBorder="1"/>
    <xf numFmtId="0" fontId="19" fillId="5" borderId="2" xfId="0" applyFont="1" applyFill="1" applyBorder="1"/>
    <xf numFmtId="0" fontId="20" fillId="5" borderId="8" xfId="0" applyFont="1" applyFill="1" applyBorder="1" applyAlignment="1">
      <alignment wrapText="1"/>
    </xf>
    <xf numFmtId="0" fontId="10" fillId="5" borderId="16" xfId="3" applyFont="1" applyFill="1" applyBorder="1"/>
    <xf numFmtId="0" fontId="9" fillId="5" borderId="8" xfId="3" applyFont="1" applyFill="1" applyBorder="1" applyAlignment="1">
      <alignment wrapText="1"/>
    </xf>
    <xf numFmtId="0" fontId="1" fillId="5" borderId="11" xfId="3" applyFont="1" applyFill="1" applyBorder="1" applyAlignment="1">
      <alignment wrapText="1"/>
    </xf>
    <xf numFmtId="0" fontId="1" fillId="5" borderId="4" xfId="3" applyFont="1" applyFill="1" applyBorder="1"/>
    <xf numFmtId="0" fontId="10" fillId="7" borderId="1" xfId="3" applyFont="1" applyFill="1" applyBorder="1" applyAlignment="1">
      <alignment horizontal="center" vertical="top" wrapText="1"/>
    </xf>
    <xf numFmtId="0" fontId="26" fillId="10" borderId="1" xfId="3" applyFont="1" applyFill="1" applyBorder="1" applyAlignment="1">
      <alignment horizontal="center" vertical="top" wrapText="1"/>
    </xf>
    <xf numFmtId="0" fontId="1" fillId="0" borderId="4" xfId="3" applyFont="1" applyFill="1" applyBorder="1" applyAlignment="1">
      <alignment horizontal="right"/>
    </xf>
    <xf numFmtId="6" fontId="1" fillId="7" borderId="1" xfId="3" applyNumberFormat="1" applyFont="1" applyFill="1" applyBorder="1"/>
    <xf numFmtId="0" fontId="10" fillId="0" borderId="4" xfId="3" applyFont="1" applyBorder="1"/>
    <xf numFmtId="0" fontId="25" fillId="8" borderId="12" xfId="3" applyFont="1" applyFill="1" applyBorder="1" applyAlignment="1">
      <alignment horizontal="center" vertical="top" wrapText="1"/>
    </xf>
    <xf numFmtId="0" fontId="1" fillId="8" borderId="4" xfId="3" applyFont="1" applyFill="1" applyBorder="1"/>
    <xf numFmtId="38" fontId="1" fillId="8" borderId="1" xfId="3" applyNumberFormat="1" applyFont="1" applyFill="1" applyBorder="1"/>
    <xf numFmtId="0" fontId="1" fillId="8" borderId="1" xfId="3" applyFont="1" applyFill="1" applyBorder="1"/>
    <xf numFmtId="6" fontId="10" fillId="8" borderId="10" xfId="3" applyNumberFormat="1" applyFont="1" applyFill="1" applyBorder="1"/>
    <xf numFmtId="38" fontId="1" fillId="8" borderId="4" xfId="3" applyNumberFormat="1" applyFont="1" applyFill="1" applyBorder="1"/>
    <xf numFmtId="38" fontId="1" fillId="8" borderId="10" xfId="3" applyNumberFormat="1" applyFont="1" applyFill="1" applyBorder="1"/>
    <xf numFmtId="38" fontId="1" fillId="8" borderId="14" xfId="3" applyNumberFormat="1" applyFont="1" applyFill="1" applyBorder="1"/>
    <xf numFmtId="6" fontId="10" fillId="8" borderId="4" xfId="3" applyNumberFormat="1" applyFont="1" applyFill="1" applyBorder="1"/>
    <xf numFmtId="38" fontId="10" fillId="8" borderId="4" xfId="3" applyNumberFormat="1" applyFont="1" applyFill="1" applyBorder="1"/>
    <xf numFmtId="164" fontId="10" fillId="8" borderId="1" xfId="5" applyNumberFormat="1" applyFont="1" applyFill="1" applyBorder="1"/>
    <xf numFmtId="43" fontId="1" fillId="8" borderId="0" xfId="1" applyFont="1" applyFill="1" applyBorder="1"/>
    <xf numFmtId="0" fontId="1" fillId="8" borderId="0" xfId="3" applyFont="1" applyFill="1" applyBorder="1" applyAlignment="1">
      <alignment horizontal="left" vertical="center"/>
    </xf>
    <xf numFmtId="0" fontId="1" fillId="8" borderId="0" xfId="3" applyFill="1" applyAlignment="1">
      <alignment horizontal="left"/>
    </xf>
    <xf numFmtId="0" fontId="1" fillId="8" borderId="0" xfId="3" applyFont="1" applyFill="1" applyAlignment="1">
      <alignment horizontal="left"/>
    </xf>
    <xf numFmtId="0" fontId="10" fillId="8" borderId="1" xfId="3" applyFont="1" applyFill="1" applyBorder="1" applyAlignment="1">
      <alignment horizontal="center" vertical="top" wrapText="1"/>
    </xf>
    <xf numFmtId="6" fontId="1" fillId="8" borderId="4" xfId="3" applyNumberFormat="1" applyFont="1" applyFill="1" applyBorder="1"/>
    <xf numFmtId="38" fontId="1" fillId="8" borderId="12" xfId="3" applyNumberFormat="1" applyFont="1" applyFill="1" applyBorder="1"/>
    <xf numFmtId="3" fontId="1" fillId="8" borderId="0" xfId="3" applyNumberFormat="1" applyFont="1" applyFill="1" applyBorder="1" applyAlignment="1">
      <alignment horizontal="right"/>
    </xf>
    <xf numFmtId="9" fontId="1" fillId="8" borderId="3" xfId="2" applyFont="1" applyFill="1" applyBorder="1"/>
    <xf numFmtId="0" fontId="1" fillId="8" borderId="3" xfId="3" applyFont="1" applyFill="1" applyBorder="1"/>
    <xf numFmtId="166" fontId="1" fillId="8" borderId="4" xfId="1" applyNumberFormat="1" applyFont="1" applyFill="1" applyBorder="1"/>
    <xf numFmtId="166" fontId="1" fillId="8" borderId="3" xfId="1" applyNumberFormat="1" applyFont="1" applyFill="1" applyBorder="1"/>
    <xf numFmtId="3" fontId="1" fillId="8" borderId="4" xfId="3" applyNumberFormat="1" applyFont="1" applyFill="1" applyBorder="1"/>
    <xf numFmtId="0" fontId="1" fillId="8" borderId="0" xfId="3" applyFont="1" applyFill="1"/>
    <xf numFmtId="0" fontId="1" fillId="8" borderId="0" xfId="3" applyFont="1" applyFill="1" applyBorder="1" applyAlignment="1">
      <alignment horizontal="left"/>
    </xf>
    <xf numFmtId="0" fontId="26" fillId="10" borderId="1" xfId="3" applyFont="1" applyFill="1" applyBorder="1" applyAlignment="1">
      <alignment horizontal="center" vertical="top" wrapText="1"/>
    </xf>
    <xf numFmtId="0" fontId="26" fillId="10" borderId="1" xfId="3" applyFont="1" applyFill="1" applyBorder="1" applyAlignment="1">
      <alignment horizontal="center" vertical="top" wrapText="1"/>
    </xf>
    <xf numFmtId="0" fontId="26" fillId="10" borderId="1" xfId="3" applyFont="1" applyFill="1" applyBorder="1" applyAlignment="1">
      <alignment horizontal="center" vertical="top" wrapText="1"/>
    </xf>
    <xf numFmtId="172" fontId="1" fillId="0" borderId="1" xfId="3" applyNumberFormat="1" applyFont="1" applyFill="1" applyBorder="1"/>
    <xf numFmtId="6" fontId="1" fillId="8" borderId="1" xfId="3" applyNumberFormat="1" applyFont="1" applyFill="1" applyBorder="1"/>
    <xf numFmtId="0" fontId="5" fillId="3" borderId="15" xfId="3" applyFont="1" applyFill="1" applyBorder="1" applyAlignment="1">
      <alignment vertical="center"/>
    </xf>
    <xf numFmtId="0" fontId="5" fillId="3" borderId="3" xfId="3" applyFont="1" applyFill="1" applyBorder="1" applyAlignment="1">
      <alignment vertical="center"/>
    </xf>
    <xf numFmtId="0" fontId="5" fillId="3" borderId="7" xfId="3" applyFont="1" applyFill="1" applyBorder="1" applyAlignment="1">
      <alignment vertical="center"/>
    </xf>
    <xf numFmtId="0" fontId="29" fillId="0" borderId="0" xfId="3" applyFont="1" applyBorder="1" applyAlignment="1">
      <alignment horizontal="center" vertical="center" wrapText="1"/>
    </xf>
    <xf numFmtId="0" fontId="30" fillId="0" borderId="0" xfId="3" applyFont="1" applyAlignment="1"/>
    <xf numFmtId="0" fontId="2" fillId="0" borderId="0" xfId="3" applyFont="1" applyBorder="1" applyAlignment="1">
      <alignment horizontal="center" vertical="center" wrapText="1"/>
    </xf>
    <xf numFmtId="0" fontId="1" fillId="0" borderId="0" xfId="3" applyAlignment="1"/>
    <xf numFmtId="2" fontId="1" fillId="0" borderId="12" xfId="2" applyNumberFormat="1" applyFont="1" applyFill="1" applyBorder="1" applyAlignment="1">
      <alignment horizontal="center" vertical="center"/>
    </xf>
    <xf numFmtId="2" fontId="1" fillId="0" borderId="1" xfId="2" applyNumberFormat="1" applyFont="1" applyFill="1" applyBorder="1" applyAlignment="1">
      <alignment horizontal="center" vertical="center"/>
    </xf>
    <xf numFmtId="43" fontId="1" fillId="0" borderId="4" xfId="1" applyFont="1" applyFill="1" applyBorder="1" applyAlignment="1">
      <alignment horizontal="center" vertical="center"/>
    </xf>
    <xf numFmtId="9" fontId="10" fillId="0" borderId="4" xfId="2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left" vertical="center" wrapText="1"/>
    </xf>
    <xf numFmtId="0" fontId="9" fillId="0" borderId="16" xfId="3" applyFont="1" applyBorder="1" applyAlignment="1">
      <alignment vertical="top" wrapText="1"/>
    </xf>
    <xf numFmtId="0" fontId="1" fillId="0" borderId="11" xfId="3" applyFont="1" applyBorder="1" applyAlignment="1">
      <alignment vertical="top" wrapText="1"/>
    </xf>
    <xf numFmtId="0" fontId="1" fillId="0" borderId="2" xfId="3" applyFont="1" applyBorder="1" applyAlignment="1">
      <alignment vertical="top" wrapText="1"/>
    </xf>
    <xf numFmtId="0" fontId="1" fillId="0" borderId="8" xfId="3" applyFont="1" applyBorder="1" applyAlignment="1">
      <alignment vertical="top" wrapText="1"/>
    </xf>
    <xf numFmtId="0" fontId="10" fillId="5" borderId="16" xfId="3" applyFont="1" applyFill="1" applyBorder="1" applyAlignment="1">
      <alignment horizontal="left" wrapText="1"/>
    </xf>
    <xf numFmtId="0" fontId="10" fillId="5" borderId="11" xfId="3" applyFont="1" applyFill="1" applyBorder="1" applyAlignment="1">
      <alignment horizontal="left" wrapText="1"/>
    </xf>
    <xf numFmtId="0" fontId="10" fillId="5" borderId="16" xfId="3" applyFont="1" applyFill="1" applyBorder="1"/>
    <xf numFmtId="0" fontId="10" fillId="5" borderId="11" xfId="3" applyFont="1" applyFill="1" applyBorder="1"/>
    <xf numFmtId="0" fontId="9" fillId="0" borderId="11" xfId="3" applyFont="1" applyBorder="1" applyAlignment="1">
      <alignment vertical="top" wrapText="1"/>
    </xf>
    <xf numFmtId="0" fontId="9" fillId="0" borderId="18" xfId="3" applyFont="1" applyBorder="1" applyAlignment="1">
      <alignment vertical="top" wrapText="1"/>
    </xf>
    <xf numFmtId="0" fontId="9" fillId="0" borderId="5" xfId="3" applyFont="1" applyBorder="1" applyAlignment="1">
      <alignment vertical="top" wrapText="1"/>
    </xf>
    <xf numFmtId="0" fontId="26" fillId="10" borderId="6" xfId="3" applyFont="1" applyFill="1" applyBorder="1" applyAlignment="1">
      <alignment horizontal="center" vertical="top" wrapText="1"/>
    </xf>
    <xf numFmtId="0" fontId="1" fillId="0" borderId="16" xfId="3" applyFont="1" applyBorder="1" applyAlignment="1"/>
    <xf numFmtId="0" fontId="1" fillId="0" borderId="11" xfId="3" applyFont="1" applyBorder="1" applyAlignment="1"/>
    <xf numFmtId="0" fontId="1" fillId="0" borderId="2" xfId="3" applyFont="1" applyBorder="1" applyAlignment="1"/>
    <xf numFmtId="0" fontId="1" fillId="0" borderId="8" xfId="3" applyFont="1" applyBorder="1" applyAlignment="1"/>
    <xf numFmtId="9" fontId="10" fillId="0" borderId="12" xfId="2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0" fontId="1" fillId="0" borderId="18" xfId="3" applyFont="1" applyBorder="1" applyAlignment="1">
      <alignment vertical="top" wrapText="1"/>
    </xf>
    <xf numFmtId="0" fontId="1" fillId="0" borderId="5" xfId="3" applyFont="1" applyBorder="1" applyAlignment="1">
      <alignment vertical="top" wrapText="1"/>
    </xf>
    <xf numFmtId="43" fontId="1" fillId="7" borderId="4" xfId="1" applyFont="1" applyFill="1" applyBorder="1" applyAlignment="1">
      <alignment horizontal="center" vertical="center"/>
    </xf>
    <xf numFmtId="2" fontId="1" fillId="7" borderId="12" xfId="2" applyNumberFormat="1" applyFont="1" applyFill="1" applyBorder="1" applyAlignment="1">
      <alignment horizontal="center" vertical="center"/>
    </xf>
    <xf numFmtId="2" fontId="1" fillId="7" borderId="1" xfId="2" applyNumberFormat="1" applyFont="1" applyFill="1" applyBorder="1" applyAlignment="1">
      <alignment horizontal="center" vertical="center"/>
    </xf>
    <xf numFmtId="9" fontId="10" fillId="7" borderId="4" xfId="2" applyFont="1" applyFill="1" applyBorder="1" applyAlignment="1">
      <alignment horizontal="center" vertical="center"/>
    </xf>
    <xf numFmtId="0" fontId="13" fillId="7" borderId="6" xfId="3" applyFont="1" applyFill="1" applyBorder="1" applyAlignment="1">
      <alignment horizontal="center" vertical="top" wrapText="1"/>
    </xf>
    <xf numFmtId="43" fontId="1" fillId="0" borderId="12" xfId="1" applyFont="1" applyFill="1" applyBorder="1" applyAlignment="1">
      <alignment horizontal="center" vertical="center"/>
    </xf>
    <xf numFmtId="43" fontId="1" fillId="0" borderId="1" xfId="1" applyFont="1" applyFill="1" applyBorder="1" applyAlignment="1">
      <alignment horizontal="center" vertical="center"/>
    </xf>
    <xf numFmtId="0" fontId="26" fillId="10" borderId="1" xfId="3" applyFont="1" applyFill="1" applyBorder="1" applyAlignment="1">
      <alignment horizontal="center" vertical="top" wrapText="1"/>
    </xf>
    <xf numFmtId="43" fontId="1" fillId="8" borderId="4" xfId="1" applyFont="1" applyFill="1" applyBorder="1" applyAlignment="1">
      <alignment horizontal="center" vertical="center"/>
    </xf>
    <xf numFmtId="2" fontId="1" fillId="8" borderId="12" xfId="2" applyNumberFormat="1" applyFont="1" applyFill="1" applyBorder="1" applyAlignment="1">
      <alignment horizontal="center" vertical="center"/>
    </xf>
    <xf numFmtId="2" fontId="1" fillId="8" borderId="1" xfId="2" applyNumberFormat="1" applyFont="1" applyFill="1" applyBorder="1" applyAlignment="1">
      <alignment horizontal="center" vertical="center"/>
    </xf>
    <xf numFmtId="0" fontId="10" fillId="8" borderId="6" xfId="3" applyFont="1" applyFill="1" applyBorder="1" applyAlignment="1">
      <alignment horizontal="center" vertical="top" wrapText="1"/>
    </xf>
    <xf numFmtId="9" fontId="10" fillId="8" borderId="4" xfId="2" applyFont="1" applyFill="1" applyBorder="1" applyAlignment="1">
      <alignment horizontal="center" vertical="center"/>
    </xf>
  </cellXfs>
  <cellStyles count="10">
    <cellStyle name="Budget" xfId="9" xr:uid="{00000000-0005-0000-0000-000000000000}"/>
    <cellStyle name="Comma" xfId="1" builtinId="3"/>
    <cellStyle name="Comma 2 2" xfId="8" xr:uid="{00000000-0005-0000-0000-000002000000}"/>
    <cellStyle name="Currency 2" xfId="4" xr:uid="{00000000-0005-0000-0000-000003000000}"/>
    <cellStyle name="Normal" xfId="0" builtinId="0"/>
    <cellStyle name="Normal 2" xfId="3" xr:uid="{00000000-0005-0000-0000-000005000000}"/>
    <cellStyle name="Normal 4" xfId="7" xr:uid="{00000000-0005-0000-0000-000006000000}"/>
    <cellStyle name="Normal 6" xfId="6" xr:uid="{00000000-0005-0000-0000-000007000000}"/>
    <cellStyle name="Percent" xfId="2" builtinId="5"/>
    <cellStyle name="Percent 2" xfId="5" xr:uid="{00000000-0005-0000-0000-00000B000000}"/>
  </cellStyles>
  <dxfs count="46"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3.png"/><Relationship Id="rId1" Type="http://schemas.openxmlformats.org/officeDocument/2006/relationships/image" Target="../media/image14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76</xdr:row>
      <xdr:rowOff>76200</xdr:rowOff>
    </xdr:from>
    <xdr:to>
      <xdr:col>1</xdr:col>
      <xdr:colOff>1781175</xdr:colOff>
      <xdr:row>77</xdr:row>
      <xdr:rowOff>876300</xdr:rowOff>
    </xdr:to>
    <xdr:pic>
      <xdr:nvPicPr>
        <xdr:cNvPr id="2" name="Picture 12" descr="cdfa_logo_4colo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19100" y="13868400"/>
          <a:ext cx="17049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104775</xdr:rowOff>
    </xdr:from>
    <xdr:to>
      <xdr:col>1</xdr:col>
      <xdr:colOff>1666875</xdr:colOff>
      <xdr:row>2</xdr:row>
      <xdr:rowOff>733425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04775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76</xdr:row>
      <xdr:rowOff>76200</xdr:rowOff>
    </xdr:from>
    <xdr:to>
      <xdr:col>1</xdr:col>
      <xdr:colOff>1733550</xdr:colOff>
      <xdr:row>77</xdr:row>
      <xdr:rowOff>847725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38684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76200</xdr:rowOff>
    </xdr:from>
    <xdr:to>
      <xdr:col>1</xdr:col>
      <xdr:colOff>1657350</xdr:colOff>
      <xdr:row>2</xdr:row>
      <xdr:rowOff>523875</xdr:rowOff>
    </xdr:to>
    <xdr:pic>
      <xdr:nvPicPr>
        <xdr:cNvPr id="2" name="Picture 7" descr="cdfa_logo_4colo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09575" y="76200"/>
          <a:ext cx="159067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114300</xdr:rowOff>
    </xdr:from>
    <xdr:to>
      <xdr:col>1</xdr:col>
      <xdr:colOff>1666875</xdr:colOff>
      <xdr:row>2</xdr:row>
      <xdr:rowOff>733425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6573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76</xdr:row>
      <xdr:rowOff>66675</xdr:rowOff>
    </xdr:from>
    <xdr:to>
      <xdr:col>1</xdr:col>
      <xdr:colOff>1685925</xdr:colOff>
      <xdr:row>77</xdr:row>
      <xdr:rowOff>885825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2934950"/>
          <a:ext cx="16573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76200</xdr:rowOff>
    </xdr:from>
    <xdr:to>
      <xdr:col>1</xdr:col>
      <xdr:colOff>1657350</xdr:colOff>
      <xdr:row>2</xdr:row>
      <xdr:rowOff>523875</xdr:rowOff>
    </xdr:to>
    <xdr:pic>
      <xdr:nvPicPr>
        <xdr:cNvPr id="4" name="Picture 7" descr="cdfa_logo_4color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09575" y="76200"/>
          <a:ext cx="159067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114300</xdr:rowOff>
    </xdr:from>
    <xdr:to>
      <xdr:col>1</xdr:col>
      <xdr:colOff>1666875</xdr:colOff>
      <xdr:row>2</xdr:row>
      <xdr:rowOff>733425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6573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76</xdr:row>
      <xdr:rowOff>95250</xdr:rowOff>
    </xdr:from>
    <xdr:to>
      <xdr:col>1</xdr:col>
      <xdr:colOff>1685925</xdr:colOff>
      <xdr:row>77</xdr:row>
      <xdr:rowOff>857250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3087350"/>
          <a:ext cx="16573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85725</xdr:rowOff>
    </xdr:from>
    <xdr:to>
      <xdr:col>1</xdr:col>
      <xdr:colOff>1609725</xdr:colOff>
      <xdr:row>2</xdr:row>
      <xdr:rowOff>628650</xdr:rowOff>
    </xdr:to>
    <xdr:pic>
      <xdr:nvPicPr>
        <xdr:cNvPr id="2" name="Picture 1" descr="cdfa_logo_4colo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71475" y="85725"/>
          <a:ext cx="15811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66675</xdr:rowOff>
    </xdr:from>
    <xdr:to>
      <xdr:col>1</xdr:col>
      <xdr:colOff>1657350</xdr:colOff>
      <xdr:row>2</xdr:row>
      <xdr:rowOff>695325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66675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76</xdr:row>
      <xdr:rowOff>76200</xdr:rowOff>
    </xdr:from>
    <xdr:to>
      <xdr:col>1</xdr:col>
      <xdr:colOff>1638300</xdr:colOff>
      <xdr:row>77</xdr:row>
      <xdr:rowOff>866775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2973050"/>
          <a:ext cx="16573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0</xdr:rowOff>
    </xdr:from>
    <xdr:to>
      <xdr:col>1</xdr:col>
      <xdr:colOff>1762125</xdr:colOff>
      <xdr:row>2</xdr:row>
      <xdr:rowOff>657225</xdr:rowOff>
    </xdr:to>
    <xdr:pic>
      <xdr:nvPicPr>
        <xdr:cNvPr id="2" name="Picture 7" descr="cdfa_logo_4color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71475" y="152400"/>
          <a:ext cx="17240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76</xdr:row>
      <xdr:rowOff>57150</xdr:rowOff>
    </xdr:from>
    <xdr:to>
      <xdr:col>1</xdr:col>
      <xdr:colOff>1724025</xdr:colOff>
      <xdr:row>77</xdr:row>
      <xdr:rowOff>762000</xdr:rowOff>
    </xdr:to>
    <xdr:pic>
      <xdr:nvPicPr>
        <xdr:cNvPr id="3" name="Picture 8" descr="cdfa_logo_4color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33375" y="13325475"/>
          <a:ext cx="1704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1</xdr:row>
      <xdr:rowOff>19050</xdr:rowOff>
    </xdr:from>
    <xdr:to>
      <xdr:col>1</xdr:col>
      <xdr:colOff>1762125</xdr:colOff>
      <xdr:row>2</xdr:row>
      <xdr:rowOff>800100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7145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76</xdr:row>
      <xdr:rowOff>123825</xdr:rowOff>
    </xdr:from>
    <xdr:to>
      <xdr:col>1</xdr:col>
      <xdr:colOff>1714500</xdr:colOff>
      <xdr:row>77</xdr:row>
      <xdr:rowOff>895350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339215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236220</xdr:colOff>
      <xdr:row>119</xdr:row>
      <xdr:rowOff>0</xdr:rowOff>
    </xdr:from>
    <xdr:to>
      <xdr:col>1</xdr:col>
      <xdr:colOff>2137247</xdr:colOff>
      <xdr:row>119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236220" y="19754850"/>
          <a:ext cx="2243927" cy="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Social Media</a:t>
          </a:r>
          <a:r>
            <a:rPr lang="en-US" sz="1400" b="1" baseline="0">
              <a:latin typeface="Arial" pitchFamily="34" charset="0"/>
              <a:cs typeface="Arial" pitchFamily="34" charset="0"/>
            </a:rPr>
            <a:t> </a:t>
          </a:r>
        </a:p>
        <a:p>
          <a:pPr algn="ctr"/>
          <a:r>
            <a:rPr lang="en-US" sz="1400" b="1" baseline="0">
              <a:latin typeface="Arial" pitchFamily="34" charset="0"/>
              <a:cs typeface="Arial" pitchFamily="34" charset="0"/>
            </a:rPr>
            <a:t>Analysis</a:t>
          </a:r>
        </a:p>
        <a:p>
          <a:pPr algn="ctr"/>
          <a:r>
            <a:rPr lang="en-US" sz="800" b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(Retrieved August 2013)</a:t>
          </a:r>
        </a:p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57150</xdr:rowOff>
    </xdr:from>
    <xdr:to>
      <xdr:col>1</xdr:col>
      <xdr:colOff>1762125</xdr:colOff>
      <xdr:row>2</xdr:row>
      <xdr:rowOff>561975</xdr:rowOff>
    </xdr:to>
    <xdr:pic>
      <xdr:nvPicPr>
        <xdr:cNvPr id="2" name="Picture 1" descr="cdfa_logo_4color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81000" y="57150"/>
          <a:ext cx="17240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123825</xdr:rowOff>
    </xdr:from>
    <xdr:to>
      <xdr:col>1</xdr:col>
      <xdr:colOff>1666875</xdr:colOff>
      <xdr:row>2</xdr:row>
      <xdr:rowOff>752475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3825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76</xdr:row>
      <xdr:rowOff>133350</xdr:rowOff>
    </xdr:from>
    <xdr:to>
      <xdr:col>1</xdr:col>
      <xdr:colOff>1724025</xdr:colOff>
      <xdr:row>77</xdr:row>
      <xdr:rowOff>904875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31064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188594</xdr:colOff>
      <xdr:row>119</xdr:row>
      <xdr:rowOff>0</xdr:rowOff>
    </xdr:from>
    <xdr:to>
      <xdr:col>1</xdr:col>
      <xdr:colOff>2137293</xdr:colOff>
      <xdr:row>119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88594" y="19926300"/>
          <a:ext cx="2291599" cy="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Social Media</a:t>
          </a:r>
          <a:r>
            <a:rPr lang="en-US" sz="1400" b="1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Analysis</a:t>
          </a:r>
          <a:endParaRPr lang="en-US" sz="1400">
            <a:latin typeface="Arial" pitchFamily="34" charset="0"/>
            <a:cs typeface="Arial" pitchFamily="34" charset="0"/>
          </a:endParaRPr>
        </a:p>
        <a:p>
          <a:pPr algn="ctr" eaLnBrk="1" fontAlgn="auto" latinLnBrk="0" hangingPunct="1"/>
          <a:r>
            <a:rPr lang="en-US" sz="800" b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(Retrieved August 2013)</a:t>
          </a:r>
          <a:endParaRPr lang="en-US" sz="80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57150</xdr:rowOff>
    </xdr:from>
    <xdr:to>
      <xdr:col>1</xdr:col>
      <xdr:colOff>1695450</xdr:colOff>
      <xdr:row>2</xdr:row>
      <xdr:rowOff>542925</xdr:rowOff>
    </xdr:to>
    <xdr:pic>
      <xdr:nvPicPr>
        <xdr:cNvPr id="2" name="Picture 7" descr="cdfa_logo_4color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04800" y="57150"/>
          <a:ext cx="17335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76</xdr:row>
      <xdr:rowOff>57150</xdr:rowOff>
    </xdr:from>
    <xdr:to>
      <xdr:col>1</xdr:col>
      <xdr:colOff>1724025</xdr:colOff>
      <xdr:row>77</xdr:row>
      <xdr:rowOff>762000</xdr:rowOff>
    </xdr:to>
    <xdr:pic>
      <xdr:nvPicPr>
        <xdr:cNvPr id="3" name="Picture 8" descr="cdfa_logo_4color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61950" y="13201650"/>
          <a:ext cx="1704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76</xdr:row>
      <xdr:rowOff>57150</xdr:rowOff>
    </xdr:from>
    <xdr:to>
      <xdr:col>1</xdr:col>
      <xdr:colOff>1676400</xdr:colOff>
      <xdr:row>77</xdr:row>
      <xdr:rowOff>828675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320165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333375</xdr:colOff>
      <xdr:row>0</xdr:row>
      <xdr:rowOff>76200</xdr:rowOff>
    </xdr:from>
    <xdr:to>
      <xdr:col>1</xdr:col>
      <xdr:colOff>1657350</xdr:colOff>
      <xdr:row>2</xdr:row>
      <xdr:rowOff>704850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762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160019</xdr:colOff>
      <xdr:row>119</xdr:row>
      <xdr:rowOff>0</xdr:rowOff>
    </xdr:from>
    <xdr:to>
      <xdr:col>1</xdr:col>
      <xdr:colOff>2232666</xdr:colOff>
      <xdr:row>119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160019" y="20021550"/>
          <a:ext cx="2415547" cy="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Social Media</a:t>
          </a:r>
          <a:r>
            <a:rPr lang="en-US" sz="1400" b="1" baseline="0">
              <a:latin typeface="Arial" pitchFamily="34" charset="0"/>
              <a:cs typeface="Arial" pitchFamily="34" charset="0"/>
            </a:rPr>
            <a:t> </a:t>
          </a:r>
        </a:p>
        <a:p>
          <a:pPr algn="ctr"/>
          <a:r>
            <a:rPr lang="en-US" sz="1400" b="1" baseline="0">
              <a:latin typeface="Arial" pitchFamily="34" charset="0"/>
              <a:cs typeface="Arial" pitchFamily="34" charset="0"/>
            </a:rPr>
            <a:t>Analysis</a:t>
          </a:r>
        </a:p>
        <a:p>
          <a:pPr algn="ctr"/>
          <a:r>
            <a:rPr lang="en-US" sz="800" b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(Retrieved August 2013)</a:t>
          </a:r>
          <a:endParaRPr lang="en-US" sz="800">
            <a:latin typeface="Arial" pitchFamily="34" charset="0"/>
            <a:cs typeface="Arial" pitchFamily="34" charset="0"/>
          </a:endParaRPr>
        </a:p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0</xdr:rowOff>
    </xdr:from>
    <xdr:to>
      <xdr:col>1</xdr:col>
      <xdr:colOff>1733550</xdr:colOff>
      <xdr:row>0</xdr:row>
      <xdr:rowOff>0</xdr:rowOff>
    </xdr:to>
    <xdr:pic>
      <xdr:nvPicPr>
        <xdr:cNvPr id="2" name="Picture 7" descr="cdfa_logo_4color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95300" y="0"/>
          <a:ext cx="1581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114300</xdr:colOff>
      <xdr:row>0</xdr:row>
      <xdr:rowOff>57150</xdr:rowOff>
    </xdr:from>
    <xdr:to>
      <xdr:col>1</xdr:col>
      <xdr:colOff>1695450</xdr:colOff>
      <xdr:row>2</xdr:row>
      <xdr:rowOff>542925</xdr:rowOff>
    </xdr:to>
    <xdr:pic>
      <xdr:nvPicPr>
        <xdr:cNvPr id="3" name="Picture 9" descr="cdfa_logo_4color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57200" y="57150"/>
          <a:ext cx="15811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77</xdr:row>
      <xdr:rowOff>0</xdr:rowOff>
    </xdr:from>
    <xdr:to>
      <xdr:col>1</xdr:col>
      <xdr:colOff>1724025</xdr:colOff>
      <xdr:row>77</xdr:row>
      <xdr:rowOff>762000</xdr:rowOff>
    </xdr:to>
    <xdr:pic>
      <xdr:nvPicPr>
        <xdr:cNvPr id="4" name="Picture 10" descr="cdfa_logo_4color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61950" y="12992100"/>
          <a:ext cx="17049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85725</xdr:rowOff>
    </xdr:from>
    <xdr:to>
      <xdr:col>1</xdr:col>
      <xdr:colOff>1666875</xdr:colOff>
      <xdr:row>2</xdr:row>
      <xdr:rowOff>714375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5725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76</xdr:row>
      <xdr:rowOff>47625</xdr:rowOff>
    </xdr:from>
    <xdr:to>
      <xdr:col>1</xdr:col>
      <xdr:colOff>1685925</xdr:colOff>
      <xdr:row>77</xdr:row>
      <xdr:rowOff>819150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28778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119</xdr:row>
      <xdr:rowOff>0</xdr:rowOff>
    </xdr:from>
    <xdr:to>
      <xdr:col>1</xdr:col>
      <xdr:colOff>2183240</xdr:colOff>
      <xdr:row>119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171450" y="19916775"/>
          <a:ext cx="2354690" cy="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Social Media</a:t>
          </a:r>
          <a:r>
            <a:rPr lang="en-US" sz="1400" b="1" baseline="0">
              <a:latin typeface="Arial" pitchFamily="34" charset="0"/>
              <a:cs typeface="Arial" pitchFamily="34" charset="0"/>
            </a:rPr>
            <a:t> </a:t>
          </a:r>
        </a:p>
        <a:p>
          <a:pPr algn="ctr"/>
          <a:r>
            <a:rPr lang="en-US" sz="1400" b="1" baseline="0">
              <a:latin typeface="Arial" pitchFamily="34" charset="0"/>
              <a:cs typeface="Arial" pitchFamily="34" charset="0"/>
            </a:rPr>
            <a:t>Analysis</a:t>
          </a:r>
          <a:endParaRPr lang="en-US" sz="1400">
            <a:latin typeface="Arial" pitchFamily="34" charset="0"/>
            <a:cs typeface="Arial" pitchFamily="34" charset="0"/>
          </a:endParaRPr>
        </a:p>
        <a:p>
          <a:pPr algn="ctr"/>
          <a:r>
            <a:rPr lang="en-US" sz="800" b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(Retrieved August 2013)</a:t>
          </a:r>
          <a:endParaRPr lang="en-US" sz="800">
            <a:latin typeface="Arial" pitchFamily="34" charset="0"/>
            <a:cs typeface="Arial" pitchFamily="34" charset="0"/>
          </a:endParaRPr>
        </a:p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66675</xdr:rowOff>
    </xdr:from>
    <xdr:to>
      <xdr:col>1</xdr:col>
      <xdr:colOff>1724025</xdr:colOff>
      <xdr:row>2</xdr:row>
      <xdr:rowOff>533400</xdr:rowOff>
    </xdr:to>
    <xdr:pic>
      <xdr:nvPicPr>
        <xdr:cNvPr id="3" name="Picture 9" descr="cdfa_logo_4color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09575" y="66675"/>
          <a:ext cx="16573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77</xdr:row>
      <xdr:rowOff>0</xdr:rowOff>
    </xdr:from>
    <xdr:to>
      <xdr:col>1</xdr:col>
      <xdr:colOff>1724025</xdr:colOff>
      <xdr:row>77</xdr:row>
      <xdr:rowOff>762000</xdr:rowOff>
    </xdr:to>
    <xdr:pic>
      <xdr:nvPicPr>
        <xdr:cNvPr id="16" name="Picture 10" descr="cdfa_logo_4color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61950" y="12992100"/>
          <a:ext cx="17049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76</xdr:row>
      <xdr:rowOff>47625</xdr:rowOff>
    </xdr:from>
    <xdr:to>
      <xdr:col>1</xdr:col>
      <xdr:colOff>1685925</xdr:colOff>
      <xdr:row>77</xdr:row>
      <xdr:rowOff>819150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28778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304800</xdr:colOff>
      <xdr:row>0</xdr:row>
      <xdr:rowOff>57150</xdr:rowOff>
    </xdr:from>
    <xdr:to>
      <xdr:col>1</xdr:col>
      <xdr:colOff>1695450</xdr:colOff>
      <xdr:row>2</xdr:row>
      <xdr:rowOff>542925</xdr:rowOff>
    </xdr:to>
    <xdr:pic>
      <xdr:nvPicPr>
        <xdr:cNvPr id="18" name="Picture 7" descr="cdfa_logo_4color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04800" y="57150"/>
          <a:ext cx="17335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333375</xdr:colOff>
      <xdr:row>0</xdr:row>
      <xdr:rowOff>76200</xdr:rowOff>
    </xdr:from>
    <xdr:to>
      <xdr:col>1</xdr:col>
      <xdr:colOff>1657350</xdr:colOff>
      <xdr:row>2</xdr:row>
      <xdr:rowOff>704850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762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tate_Gov_Reporting\Gaap\CAFR%202005\Agency%20Responses\Employment%20Development%20Department\Department%20of%20Health%20Serv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tate_Gov_Reporting\2008-09\GAAP\AGENCY%20REQUESTS\Department%20of%20Health%20Serv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tate_Gov_Reporting\Gaap\CAFR%202005\Agency%20Requests%20Sent\Department%20of%20Health%20Servi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912-PY GAAP adj."/>
      <sheetName val="Fd. 0912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Special Revenue Balance Sheet"/>
      <sheetName val="Special Revenue - Revenue &amp; Exp"/>
      <sheetName val="Fd. 0848-SCIAL"/>
      <sheetName val="Fd. 0912-SCIAL"/>
      <sheetName val="Fd. 0912-PY GAAP adj."/>
      <sheetName val="Fd. 0912-CY GAAP adj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  <sheetName val="Fd. 0912-PY GAAP adj."/>
      <sheetName val="Fd. 0912-CY GAAP adj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7"/>
  <sheetViews>
    <sheetView tabSelected="1" zoomScale="85" zoomScaleNormal="85" zoomScaleSheetLayoutView="100" workbookViewId="0">
      <pane xSplit="1" ySplit="4" topLeftCell="B5" activePane="bottomRight" state="frozen"/>
      <selection activeCell="B13" sqref="B13"/>
      <selection pane="topRight" activeCell="B13" sqref="B13"/>
      <selection pane="bottomLeft" activeCell="B13" sqref="B13"/>
      <selection pane="bottomRight" activeCell="D6" sqref="D6"/>
    </sheetView>
  </sheetViews>
  <sheetFormatPr defaultRowHeight="12.75"/>
  <cols>
    <col min="1" max="1" width="58.7109375" style="4" customWidth="1"/>
    <col min="2" max="6" width="14" style="4" customWidth="1"/>
    <col min="7" max="10" width="15.5703125" style="4" customWidth="1"/>
    <col min="11" max="11" width="11.42578125" style="4" customWidth="1"/>
    <col min="12" max="16384" width="9.140625" style="4"/>
  </cols>
  <sheetData>
    <row r="1" spans="1:12" s="2" customFormat="1" ht="24.95" customHeight="1">
      <c r="A1" s="347" t="s"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8"/>
    </row>
    <row r="2" spans="1:12" s="2" customFormat="1" ht="24.95" customHeight="1">
      <c r="A2" s="349" t="s">
        <v>228</v>
      </c>
      <c r="B2" s="349"/>
      <c r="C2" s="349"/>
      <c r="D2" s="349"/>
      <c r="E2" s="349"/>
      <c r="F2" s="349"/>
      <c r="G2" s="349"/>
      <c r="H2" s="349"/>
      <c r="I2" s="349"/>
      <c r="J2" s="349"/>
      <c r="K2" s="350"/>
    </row>
    <row r="3" spans="1:12" ht="24.95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spans="1:12" s="5" customFormat="1" ht="30" customHeight="1" thickBot="1">
      <c r="A4" s="286"/>
      <c r="B4" s="287" t="s">
        <v>1</v>
      </c>
      <c r="C4" s="287" t="s">
        <v>2</v>
      </c>
      <c r="D4" s="287" t="s">
        <v>3</v>
      </c>
      <c r="E4" s="287" t="s">
        <v>4</v>
      </c>
      <c r="F4" s="287" t="s">
        <v>5</v>
      </c>
      <c r="G4" s="287" t="s">
        <v>6</v>
      </c>
      <c r="H4" s="287" t="s">
        <v>7</v>
      </c>
      <c r="I4" s="287" t="s">
        <v>8</v>
      </c>
      <c r="J4" s="287" t="s">
        <v>9</v>
      </c>
      <c r="K4" s="288" t="s">
        <v>10</v>
      </c>
    </row>
    <row r="5" spans="1:12" s="5" customFormat="1" ht="30" customHeight="1">
      <c r="A5" s="291" t="s">
        <v>11</v>
      </c>
      <c r="B5" s="6">
        <v>12</v>
      </c>
      <c r="C5" s="6">
        <v>9</v>
      </c>
      <c r="D5" s="6">
        <v>14</v>
      </c>
      <c r="E5" s="6">
        <v>14</v>
      </c>
      <c r="F5" s="6">
        <v>8</v>
      </c>
      <c r="G5" s="6">
        <v>6</v>
      </c>
      <c r="H5" s="6">
        <v>4</v>
      </c>
      <c r="I5" s="6">
        <v>5</v>
      </c>
      <c r="J5" s="7">
        <v>5</v>
      </c>
      <c r="K5" s="289">
        <f>SUM(B5:J5)</f>
        <v>77</v>
      </c>
    </row>
    <row r="6" spans="1:12" s="8" customFormat="1" ht="37.5" customHeight="1">
      <c r="A6" s="292" t="s">
        <v>192</v>
      </c>
      <c r="B6" s="200">
        <v>12</v>
      </c>
      <c r="C6" s="200">
        <v>8</v>
      </c>
      <c r="D6" s="200">
        <v>13</v>
      </c>
      <c r="E6" s="200">
        <v>13</v>
      </c>
      <c r="F6" s="200">
        <v>8</v>
      </c>
      <c r="G6" s="200">
        <v>6</v>
      </c>
      <c r="H6" s="200">
        <v>4</v>
      </c>
      <c r="I6" s="200">
        <v>5</v>
      </c>
      <c r="J6" s="201">
        <v>5</v>
      </c>
      <c r="K6" s="290">
        <f>SUM(B6:J6)</f>
        <v>74</v>
      </c>
    </row>
    <row r="7" spans="1:12" s="5" customFormat="1" ht="9" customHeight="1">
      <c r="A7" s="344"/>
      <c r="B7" s="345"/>
      <c r="C7" s="345"/>
      <c r="D7" s="345"/>
      <c r="E7" s="345"/>
      <c r="F7" s="345"/>
      <c r="G7" s="345"/>
      <c r="H7" s="345"/>
      <c r="I7" s="345"/>
      <c r="J7" s="345"/>
      <c r="K7" s="346"/>
    </row>
    <row r="8" spans="1:12" s="5" customFormat="1" ht="30" customHeight="1">
      <c r="A8" s="295" t="s">
        <v>12</v>
      </c>
      <c r="B8" s="9">
        <f>AVERAGE('Class 1'!C60:N60)</f>
        <v>54179.353333333333</v>
      </c>
      <c r="C8" s="9">
        <f>AVERAGE('Class 2'!C60:K60)</f>
        <v>126393.55555555556</v>
      </c>
      <c r="D8" s="9">
        <f>AVERAGE('Class 3'!C60:P60)</f>
        <v>497735.63538461539</v>
      </c>
      <c r="E8" s="9">
        <f>AVERAGE('Class 3+'!C60:P60)</f>
        <v>664512.34857142868</v>
      </c>
      <c r="F8" s="9">
        <f>AVERAGE('Class 4'!C60:J60)</f>
        <v>324960.16125</v>
      </c>
      <c r="G8" s="9">
        <f>AVERAGE('Class 4+'!C60:H60)</f>
        <v>-26185.426666666677</v>
      </c>
      <c r="H8" s="9">
        <f>AVERAGE('Class 5'!C60:F60)</f>
        <v>692078.87250000006</v>
      </c>
      <c r="I8" s="9">
        <f>AVERAGE('Class 6'!C60:G60)</f>
        <v>1798983.6919999998</v>
      </c>
      <c r="J8" s="9">
        <f>AVERAGE('Class 7'!C60:G60)</f>
        <v>10219667</v>
      </c>
      <c r="K8" s="293"/>
    </row>
    <row r="9" spans="1:12" s="5" customFormat="1" ht="30" customHeight="1">
      <c r="A9" s="296" t="s">
        <v>13</v>
      </c>
      <c r="B9" s="198">
        <f>AVERAGE('Class 1'!C65:N65)</f>
        <v>-0.18570587828361951</v>
      </c>
      <c r="C9" s="10">
        <f>AVERAGE('Class 2'!C65:K65)</f>
        <v>0.18820118420493079</v>
      </c>
      <c r="D9" s="10">
        <f>AVERAGE('Class 3'!C65:P65)</f>
        <v>0.49804468646162792</v>
      </c>
      <c r="E9" s="10">
        <f>AVERAGE('Class 3+'!C65:P65)</f>
        <v>0.45535975902850367</v>
      </c>
      <c r="F9" s="10">
        <f>AVERAGE('Class 4'!C65:J65)</f>
        <v>0.14796563967458623</v>
      </c>
      <c r="G9" s="11">
        <f>AVERAGE('Class 4+'!C65:H65)</f>
        <v>-7.1338073826015362E-3</v>
      </c>
      <c r="H9" s="10">
        <f>AVERAGE('Class 5'!C65:F65)</f>
        <v>3.6024179980582405</v>
      </c>
      <c r="I9" s="10">
        <f>AVERAGE('Class 6'!C65:G65)</f>
        <v>0.19575885774668461</v>
      </c>
      <c r="J9" s="10">
        <f>AVERAGE('Class 7'!C65:G65)</f>
        <v>0.27407000773100137</v>
      </c>
      <c r="K9" s="294"/>
    </row>
    <row r="10" spans="1:12" s="5" customFormat="1" ht="30" customHeight="1">
      <c r="A10" s="295" t="s">
        <v>14</v>
      </c>
      <c r="B10" s="12">
        <f>MAX('Class 1'!C60:N60)</f>
        <v>621046</v>
      </c>
      <c r="C10" s="12">
        <f>MAX('Class 2'!C60:K60)</f>
        <v>484161</v>
      </c>
      <c r="D10" s="12">
        <f>MAX('Class 3'!C60:P60)</f>
        <v>2332480</v>
      </c>
      <c r="E10" s="12">
        <f>MAX('Class 3+'!C60:P60)</f>
        <v>2614828.77</v>
      </c>
      <c r="F10" s="12">
        <f>MAX('Class 4'!C60:J60)</f>
        <v>914004</v>
      </c>
      <c r="G10" s="12">
        <f>MAX('Class 4+'!C60:H60)</f>
        <v>370487</v>
      </c>
      <c r="H10" s="12">
        <f>MAX('Class 5'!C60:F60)</f>
        <v>1877371</v>
      </c>
      <c r="I10" s="12">
        <f>MAX('Class 6'!C60:G60)</f>
        <v>5442544</v>
      </c>
      <c r="J10" s="12">
        <f>MAX('Class 7'!C60:G60)</f>
        <v>34951569</v>
      </c>
      <c r="K10" s="294"/>
    </row>
    <row r="11" spans="1:12" s="5" customFormat="1" ht="30" customHeight="1">
      <c r="A11" s="295" t="s">
        <v>15</v>
      </c>
      <c r="B11" s="10">
        <f>MAX('Class 1'!C65:N65)</f>
        <v>1.2599045302486556</v>
      </c>
      <c r="C11" s="10">
        <f>MAX('Class 2'!C65:K65)</f>
        <v>0.78395467528514151</v>
      </c>
      <c r="D11" s="10">
        <f>MAX('Class 3'!C65:P65)</f>
        <v>1.9939680346872199</v>
      </c>
      <c r="E11" s="10">
        <f>MAX('Class 3+'!C65:P65)</f>
        <v>1.4161669887524715</v>
      </c>
      <c r="F11" s="10">
        <f>MAX('Class 4'!C65:J65)</f>
        <v>0.46043987432162237</v>
      </c>
      <c r="G11" s="10">
        <f>MAX('Class 4+'!C65:H65)</f>
        <v>0.17113116821329097</v>
      </c>
      <c r="H11" s="10">
        <f>MAX('Class 5'!C65:F65)</f>
        <v>14.03520194416487</v>
      </c>
      <c r="I11" s="10">
        <f>MAX('Class 6'!C65:G65)</f>
        <v>0.64333462255327967</v>
      </c>
      <c r="J11" s="10">
        <f>MAX('Class 7'!C65:G65)</f>
        <v>1.0978898405112525</v>
      </c>
      <c r="K11" s="294"/>
    </row>
    <row r="12" spans="1:12" s="5" customFormat="1" ht="30" customHeight="1">
      <c r="A12" s="295" t="s">
        <v>16</v>
      </c>
      <c r="B12" s="9">
        <f>MIN('Class 1'!C60:N60)</f>
        <v>-1022994</v>
      </c>
      <c r="C12" s="9">
        <f>MIN('Class 2'!C60:K60)</f>
        <v>-128996</v>
      </c>
      <c r="D12" s="9">
        <f>MIN('Class 3'!C60:P60)</f>
        <v>-200943</v>
      </c>
      <c r="E12" s="9">
        <f>MIN('Class 3+'!C60:P60)</f>
        <v>-39294.800000000003</v>
      </c>
      <c r="F12" s="9">
        <f>MIN('Class 4'!C60:J60)</f>
        <v>-82321</v>
      </c>
      <c r="G12" s="9">
        <f>MIN('Class 4+'!C60:H60)</f>
        <v>-563274.31000000006</v>
      </c>
      <c r="H12" s="12">
        <f>MIN('Class 5'!C60:F60)</f>
        <v>-540273</v>
      </c>
      <c r="I12" s="12">
        <f>MIN('Class 6'!C60:G60)</f>
        <v>-200752.87000000104</v>
      </c>
      <c r="J12" s="13">
        <f>MIN('Class 7'!C60:G60)</f>
        <v>-2661064</v>
      </c>
      <c r="K12" s="294"/>
    </row>
    <row r="13" spans="1:12" s="5" customFormat="1" ht="30" customHeight="1">
      <c r="A13" s="295" t="s">
        <v>17</v>
      </c>
      <c r="B13" s="11">
        <f>MIN('Class 1'!C65:N65)</f>
        <v>-3.4192233003218702</v>
      </c>
      <c r="C13" s="11">
        <f>MIN('Class 2'!C65:K65)</f>
        <v>-0.28228548920060398</v>
      </c>
      <c r="D13" s="10">
        <f>MIN('Class 3'!C65:P65)</f>
        <v>-0.22698601324347711</v>
      </c>
      <c r="E13" s="10">
        <f>MIN('Class 3+'!C65:P65)</f>
        <v>-3.7195578975064293E-2</v>
      </c>
      <c r="F13" s="11">
        <f>MIN('Class 4'!C65:J65)</f>
        <v>-4.0468906620312176E-2</v>
      </c>
      <c r="G13" s="11">
        <f>MIN('Class 4+'!C65:H65)</f>
        <v>-0.23463402281600657</v>
      </c>
      <c r="H13" s="10">
        <f>MIN('Class 5'!C65:F65)</f>
        <v>-8.0909605392086761E-2</v>
      </c>
      <c r="I13" s="10">
        <f>MIN('Class 6'!C65:G65)</f>
        <v>-2.1211556123020517E-2</v>
      </c>
      <c r="J13" s="11">
        <f>MIN('Class 7'!C65:G65)</f>
        <v>-0.10048417784206864</v>
      </c>
      <c r="K13" s="294"/>
    </row>
    <row r="14" spans="1:12" ht="8.25" customHeight="1">
      <c r="A14" s="344"/>
      <c r="B14" s="345"/>
      <c r="C14" s="345"/>
      <c r="D14" s="345"/>
      <c r="E14" s="345"/>
      <c r="F14" s="345"/>
      <c r="G14" s="345"/>
      <c r="H14" s="345"/>
      <c r="I14" s="345"/>
      <c r="J14" s="345"/>
      <c r="K14" s="346"/>
    </row>
    <row r="15" spans="1:12" ht="35.25" customHeight="1">
      <c r="A15" s="297" t="s">
        <v>18</v>
      </c>
      <c r="B15" s="14">
        <f>AVERAGE('Class 1'!C31:N31)</f>
        <v>368847.09666666668</v>
      </c>
      <c r="C15" s="14">
        <f>AVERAGE('Class 2'!C31:K31)</f>
        <v>581981.76555555547</v>
      </c>
      <c r="D15" s="14">
        <f>AVERAGE('Class 3'!C31:P31)</f>
        <v>933010.97384615382</v>
      </c>
      <c r="E15" s="14">
        <f>AVERAGE('Class 3+'!C31:P31)</f>
        <v>1547653.6285714286</v>
      </c>
      <c r="F15" s="14">
        <f>AVERAGE('Class 4'!C31:J31)</f>
        <v>2306472</v>
      </c>
      <c r="G15" s="14">
        <f>AVERAGE('Class 4+'!C31:H31)</f>
        <v>3772672.0883333334</v>
      </c>
      <c r="H15" s="14">
        <f>AVERAGE('Class 5'!C31:F31)</f>
        <v>6043286.8674999997</v>
      </c>
      <c r="I15" s="14">
        <f>AVERAGE('Class 6'!C31:G31)</f>
        <v>9983259.0120000001</v>
      </c>
      <c r="J15" s="14">
        <f>AVERAGE('Class 7'!C31:G31)</f>
        <v>49579468.799999997</v>
      </c>
      <c r="K15" s="294"/>
      <c r="L15" s="15"/>
    </row>
    <row r="16" spans="1:12" ht="35.25" customHeight="1">
      <c r="A16" s="297" t="s">
        <v>19</v>
      </c>
      <c r="B16" s="14">
        <f>AVERAGE('Class 1'!C51:N51)</f>
        <v>441272.2491666667</v>
      </c>
      <c r="C16" s="14">
        <f>AVERAGE('Class 2'!C51:K51)</f>
        <v>666063.03333333344</v>
      </c>
      <c r="D16" s="14">
        <f>AVERAGE('Class 3'!C51:P51)</f>
        <v>893001.51199999999</v>
      </c>
      <c r="E16" s="14">
        <f>AVERAGE('Class 3+'!C51:P51)</f>
        <v>1420008.5607142858</v>
      </c>
      <c r="F16" s="14">
        <f>AVERAGE('Class 4'!C51:J51)</f>
        <v>2122657.625</v>
      </c>
      <c r="G16" s="14">
        <f>AVERAGE('Class 4+'!C51:H51)</f>
        <v>3855472.5649999999</v>
      </c>
      <c r="H16" s="14">
        <f>AVERAGE('Class 5'!C51:F51)</f>
        <v>5637376.9574999996</v>
      </c>
      <c r="I16" s="14">
        <f>AVERAGE('Class 6'!C51:G51)</f>
        <v>9429810.068</v>
      </c>
      <c r="J16" s="14">
        <f>AVERAGE('Class 7'!C51:G51)</f>
        <v>44134163.399999999</v>
      </c>
      <c r="K16" s="294"/>
      <c r="L16" s="15"/>
    </row>
    <row r="17" spans="1:12" ht="35.25" customHeight="1">
      <c r="A17" s="297" t="s">
        <v>20</v>
      </c>
      <c r="B17" s="14">
        <f>AVERAGE('Class 1'!C55:N55)</f>
        <v>-72425.152500000011</v>
      </c>
      <c r="C17" s="14">
        <f>AVERAGE('Class 2'!C55:K55)</f>
        <v>-84081.267777777801</v>
      </c>
      <c r="D17" s="14">
        <f>AVERAGE('Class 3'!C55:P55)</f>
        <v>40009.461846153834</v>
      </c>
      <c r="E17" s="14">
        <f>AVERAGE('Class 3+'!C55:P55)</f>
        <v>127645.06785714287</v>
      </c>
      <c r="F17" s="14">
        <f>AVERAGE('Class 4'!C55:J55)</f>
        <v>183814.375</v>
      </c>
      <c r="G17" s="14">
        <f>AVERAGE('Class 4+'!C55:H55)</f>
        <v>-82800.476666666727</v>
      </c>
      <c r="H17" s="14">
        <f>AVERAGE('Class 5'!C55:F55)</f>
        <v>405909.90999999992</v>
      </c>
      <c r="I17" s="14">
        <f>AVERAGE('Class 6'!C55:G55)</f>
        <v>553448.94400000013</v>
      </c>
      <c r="J17" s="14">
        <f>AVERAGE('Class 7'!C55:G55)</f>
        <v>5445305.4000000004</v>
      </c>
      <c r="K17" s="294"/>
      <c r="L17" s="15"/>
    </row>
    <row r="18" spans="1:12" ht="35.25" customHeight="1">
      <c r="A18" s="297" t="s">
        <v>21</v>
      </c>
      <c r="B18" s="14">
        <f>AVERAGE('Class 1'!C56:N56)</f>
        <v>-262924.1225</v>
      </c>
      <c r="C18" s="14">
        <f>AVERAGE('Class 2'!C56:K56)</f>
        <v>-343805.2677777778</v>
      </c>
      <c r="D18" s="14">
        <f>AVERAGE('Class 3'!C56:P56)</f>
        <v>-334102.23507692304</v>
      </c>
      <c r="E18" s="14">
        <f>AVERAGE('Class 3+'!C56:P56)</f>
        <v>-296990.53428571427</v>
      </c>
      <c r="F18" s="14">
        <f>AVERAGE('Class 4'!C56:J56)</f>
        <v>-882953.35875000001</v>
      </c>
      <c r="G18" s="14">
        <f>AVERAGE('Class 4+'!C56:H56)</f>
        <v>-694168.38666666672</v>
      </c>
      <c r="H18" s="14">
        <f>AVERAGE('Class 5'!C56:F56)</f>
        <v>-1799734.9675</v>
      </c>
      <c r="I18" s="14">
        <f>AVERAGE('Class 6'!C56:G56)</f>
        <v>-1675229.1939999997</v>
      </c>
      <c r="J18" s="14">
        <f>AVERAGE('Class 7'!C56:G56)</f>
        <v>1902851.6</v>
      </c>
      <c r="K18" s="294"/>
      <c r="L18" s="15"/>
    </row>
    <row r="19" spans="1:12" ht="31.5" customHeight="1">
      <c r="A19" s="297" t="s">
        <v>22</v>
      </c>
      <c r="B19" s="14">
        <f>AVERAGE('Class 1'!C57:N57)</f>
        <v>-7034.9858333333395</v>
      </c>
      <c r="C19" s="14">
        <f>AVERAGE('Class 2'!C57:K57)</f>
        <v>30710.287777777747</v>
      </c>
      <c r="D19" s="14">
        <f>AVERAGE('Class 3'!C57:P57)</f>
        <v>106956.89646153845</v>
      </c>
      <c r="E19" s="14">
        <f>AVERAGE('Class 3+'!C57:P57)</f>
        <v>214912.41571428574</v>
      </c>
      <c r="F19" s="14">
        <f>AVERAGE('Class 4'!C57:J57)</f>
        <v>427944.55499999999</v>
      </c>
      <c r="G19" s="14">
        <f>AVERAGE('Class 4+'!C57:H57)</f>
        <v>15817.689999999944</v>
      </c>
      <c r="H19" s="14">
        <f>AVERAGE('Class 5'!C57:F57)</f>
        <v>405909.90999999992</v>
      </c>
      <c r="I19" s="14">
        <f>AVERAGE('Class 6'!C57:G57)</f>
        <v>592088.74400000018</v>
      </c>
      <c r="J19" s="14">
        <f>AVERAGE('Class 7'!C57:G57)</f>
        <v>5445305</v>
      </c>
      <c r="K19" s="294"/>
    </row>
    <row r="20" spans="1:12" ht="35.25" customHeight="1">
      <c r="A20" s="297" t="s">
        <v>23</v>
      </c>
      <c r="B20" s="14">
        <f>AVERAGE('Class 1'!C58:N58)</f>
        <v>-197533.95583333334</v>
      </c>
      <c r="C20" s="14">
        <f>AVERAGE('Class 2'!C58:K58)</f>
        <v>-229013.71222222224</v>
      </c>
      <c r="D20" s="14">
        <f>AVERAGE('Class 3'!C58:P58)</f>
        <v>-267154.80046153849</v>
      </c>
      <c r="E20" s="14">
        <f>AVERAGE('Class 3+'!C58:P58)</f>
        <v>-209723.18642857138</v>
      </c>
      <c r="F20" s="14">
        <f>AVERAGE('Class 4'!C58:J58)</f>
        <v>-638823.17874999996</v>
      </c>
      <c r="G20" s="14">
        <f>AVERAGE('Class 4+'!C58:H58)</f>
        <v>-595550.22000000009</v>
      </c>
      <c r="H20" s="14">
        <f>AVERAGE('Class 5'!C58:F58)</f>
        <v>-1799734.9675</v>
      </c>
      <c r="I20" s="14">
        <f>AVERAGE('Class 6'!C58:G58)</f>
        <v>-1636589.3939999999</v>
      </c>
      <c r="J20" s="14">
        <f>AVERAGE('Class 7'!C58:G58)</f>
        <v>1902851.2</v>
      </c>
      <c r="K20" s="294"/>
      <c r="L20" s="15"/>
    </row>
    <row r="21" spans="1:12" ht="35.25" customHeight="1">
      <c r="A21" s="297" t="s">
        <v>198</v>
      </c>
      <c r="B21" s="199">
        <f>AVERAGE('Class 1'!C122:N122)</f>
        <v>-2.4378876525781279</v>
      </c>
      <c r="C21" s="197">
        <f>AVERAGE('Class 2'!C122:K122)</f>
        <v>-0.16747899626478444</v>
      </c>
      <c r="D21" s="197">
        <f>AVERAGE('Class 3'!C122:P122)</f>
        <v>3.3014470787362728E-2</v>
      </c>
      <c r="E21" s="197">
        <f>AVERAGE('Class 3+'!C122:P122)</f>
        <v>5.472051896930781E-2</v>
      </c>
      <c r="F21" s="197">
        <f>AVERAGE('Class 4'!C122:J122)</f>
        <v>7.9513993790879312E-2</v>
      </c>
      <c r="G21" s="197">
        <f>AVERAGE('Class 4+'!C122:H122)</f>
        <v>-3.6362894833473797E-2</v>
      </c>
      <c r="H21" s="197">
        <f>AVERAGE('Class 5'!C122:F122)</f>
        <v>0.30182486271118691</v>
      </c>
      <c r="I21" s="197">
        <f>AVERAGE('Class 6'!C122:G122)</f>
        <v>5.8747134411039112E-2</v>
      </c>
      <c r="J21" s="197">
        <f>AVERAGE('Class 7'!C122:G122)</f>
        <v>0.10276232383347408</v>
      </c>
      <c r="K21" s="294"/>
      <c r="L21" s="15"/>
    </row>
    <row r="22" spans="1:12" ht="8.25" customHeight="1">
      <c r="A22" s="344"/>
      <c r="B22" s="345"/>
      <c r="C22" s="345"/>
      <c r="D22" s="345"/>
      <c r="E22" s="345"/>
      <c r="F22" s="345"/>
      <c r="G22" s="345"/>
      <c r="H22" s="345"/>
      <c r="I22" s="345"/>
      <c r="J22" s="345"/>
      <c r="K22" s="346"/>
    </row>
    <row r="23" spans="1:12" ht="35.25" customHeight="1">
      <c r="A23" s="298" t="s">
        <v>193</v>
      </c>
      <c r="B23" s="171">
        <f>AVERAGE('Class 1'!C105:N105)</f>
        <v>7343.5124999999998</v>
      </c>
      <c r="C23" s="171">
        <f>AVERAGE('Class 2'!C105:K105)</f>
        <v>11661.277777777777</v>
      </c>
      <c r="D23" s="171">
        <f>AVERAGE('Class 3'!C105:P105)</f>
        <v>21193.171538461538</v>
      </c>
      <c r="E23" s="171">
        <f>AVERAGE('Class 3+'!C105:P105)</f>
        <v>26805.674999999996</v>
      </c>
      <c r="F23" s="171">
        <f>AVERAGE('Class 4'!C105:J105)</f>
        <v>86795.125</v>
      </c>
      <c r="G23" s="171">
        <f>AVERAGE('Class 4+'!C105:H105)</f>
        <v>64152.255000000005</v>
      </c>
      <c r="H23" s="171">
        <f>AVERAGE('Class 5'!C105:F105)</f>
        <v>241431.75</v>
      </c>
      <c r="I23" s="171">
        <f>AVERAGE('Class 6'!C105:G105)</f>
        <v>205906.2</v>
      </c>
      <c r="J23" s="171">
        <f>AVERAGE('Class 7'!C105:G105)</f>
        <v>1110375.8</v>
      </c>
      <c r="K23" s="294"/>
      <c r="L23" s="15"/>
    </row>
    <row r="24" spans="1:12" ht="8.25" customHeight="1">
      <c r="A24" s="344"/>
      <c r="B24" s="345"/>
      <c r="C24" s="345"/>
      <c r="D24" s="345"/>
      <c r="E24" s="345"/>
      <c r="F24" s="345"/>
      <c r="G24" s="345"/>
      <c r="H24" s="345"/>
      <c r="I24" s="345"/>
      <c r="J24" s="345"/>
      <c r="K24" s="346"/>
    </row>
    <row r="25" spans="1:12" ht="30" customHeight="1">
      <c r="A25" s="298" t="s">
        <v>24</v>
      </c>
      <c r="B25" s="16">
        <f>AVERAGE('Class 1'!C136:N136)</f>
        <v>1.9166666666666667</v>
      </c>
      <c r="C25" s="16">
        <f>AVERAGE('Class 2'!C136:K136)</f>
        <v>2</v>
      </c>
      <c r="D25" s="16">
        <f>AVERAGE('Class 3'!C136:P136)</f>
        <v>2.9230769230769229</v>
      </c>
      <c r="E25" s="16">
        <f>AVERAGE('Class 3+'!C136:P136)</f>
        <v>5.2142857142857144</v>
      </c>
      <c r="F25" s="16">
        <f>AVERAGE('Class 4'!C136:J136)</f>
        <v>6.75</v>
      </c>
      <c r="G25" s="16">
        <f>AVERAGE('Class 4+'!C136:H136)</f>
        <v>13</v>
      </c>
      <c r="H25" s="16">
        <f>AVERAGE('Class 5'!C136:F136)</f>
        <v>25.5</v>
      </c>
      <c r="I25" s="16">
        <f>AVERAGE('Class 6'!C136:G136)</f>
        <v>22.6</v>
      </c>
      <c r="J25" s="16">
        <f>AVERAGE('Class 7'!C136:G136)</f>
        <v>368.2</v>
      </c>
      <c r="K25" s="294"/>
    </row>
    <row r="26" spans="1:12" ht="8.25" customHeight="1">
      <c r="A26" s="344"/>
      <c r="B26" s="345"/>
      <c r="C26" s="345"/>
      <c r="D26" s="345"/>
      <c r="E26" s="345"/>
      <c r="F26" s="345"/>
      <c r="G26" s="345"/>
      <c r="H26" s="345"/>
      <c r="I26" s="345"/>
      <c r="J26" s="345"/>
      <c r="K26" s="346"/>
    </row>
    <row r="27" spans="1:12" ht="30" customHeight="1">
      <c r="A27" s="298" t="s">
        <v>25</v>
      </c>
      <c r="B27" s="17">
        <f>AVERAGE('Class 1'!C138:N138)</f>
        <v>10246.666666666666</v>
      </c>
      <c r="C27" s="17">
        <f>AVERAGE('Class 2'!C138:K138)</f>
        <v>13125.111111111111</v>
      </c>
      <c r="D27" s="17">
        <f>AVERAGE('Class 3'!C138:P138)</f>
        <v>19173.333333333332</v>
      </c>
      <c r="E27" s="17">
        <f>AVERAGE('Class 3+'!C138:P138)</f>
        <v>31957.357142857141</v>
      </c>
      <c r="F27" s="17">
        <f>AVERAGE('Class 4'!C138:J138)</f>
        <v>54360.625</v>
      </c>
      <c r="G27" s="17">
        <f>AVERAGE('Class 4+'!C138:H138)</f>
        <v>59604</v>
      </c>
      <c r="H27" s="17">
        <f>AVERAGE('Class 5'!C138:F138)</f>
        <v>98991</v>
      </c>
      <c r="I27" s="17">
        <f>AVERAGE('Class 6'!C138:G138)</f>
        <v>191344.8</v>
      </c>
      <c r="J27" s="17">
        <f>AVERAGE('Class 7'!C138:G138)</f>
        <v>686503.2</v>
      </c>
      <c r="K27" s="294"/>
    </row>
    <row r="28" spans="1:12" ht="30" customHeight="1">
      <c r="A28" s="298" t="s">
        <v>26</v>
      </c>
      <c r="B28" s="17">
        <f>AVERAGE('Class 1'!C139:N139)</f>
        <v>7421.333333333333</v>
      </c>
      <c r="C28" s="17">
        <f>AVERAGE('Class 2'!C139:K139)</f>
        <v>2861.7777777777778</v>
      </c>
      <c r="D28" s="17">
        <f>AVERAGE('Class 3'!C139:P139)</f>
        <v>13502.583333333334</v>
      </c>
      <c r="E28" s="17">
        <f>AVERAGE('Class 3+'!C139:P139)</f>
        <v>17300.071428571428</v>
      </c>
      <c r="F28" s="17">
        <f>AVERAGE('Class 4'!C139:J139)</f>
        <v>22677.625</v>
      </c>
      <c r="G28" s="17">
        <f>AVERAGE('Class 4+'!C139:H139)</f>
        <v>21988.666666666668</v>
      </c>
      <c r="H28" s="17">
        <f>AVERAGE('Class 5'!C139:F139)</f>
        <v>46192</v>
      </c>
      <c r="I28" s="17">
        <f>AVERAGE('Class 6'!C139:G139)</f>
        <v>129728</v>
      </c>
      <c r="J28" s="17">
        <f>AVERAGE('Class 7'!C139:G139)</f>
        <v>246756.6</v>
      </c>
      <c r="K28" s="294"/>
    </row>
    <row r="29" spans="1:12" ht="30" customHeight="1">
      <c r="A29" s="298" t="s">
        <v>27</v>
      </c>
      <c r="B29" s="17">
        <f>AVERAGE('Class 1'!C140:N140)</f>
        <v>17668</v>
      </c>
      <c r="C29" s="17">
        <f>AVERAGE('Class 2'!C140:K140)</f>
        <v>15986.888888888889</v>
      </c>
      <c r="D29" s="17">
        <f>AVERAGE('Class 3'!C140:P140)</f>
        <v>32675.916666666668</v>
      </c>
      <c r="E29" s="17">
        <f>AVERAGE('Class 3+'!C140:P140)</f>
        <v>49257.428571428572</v>
      </c>
      <c r="F29" s="17">
        <f>AVERAGE('Class 4'!C140:J140)</f>
        <v>77038.25</v>
      </c>
      <c r="G29" s="17">
        <f>AVERAGE('Class 4+'!C140:H140)</f>
        <v>81592.666666666672</v>
      </c>
      <c r="H29" s="17">
        <f>AVERAGE('Class 5'!C140:F140)</f>
        <v>145183</v>
      </c>
      <c r="I29" s="17">
        <f>AVERAGE('Class 6'!C140:G140)</f>
        <v>321072.8</v>
      </c>
      <c r="J29" s="17">
        <f>AVERAGE('Class 7'!C140:G140)</f>
        <v>933259.8</v>
      </c>
      <c r="K29" s="294"/>
    </row>
    <row r="30" spans="1:12" ht="30" customHeight="1">
      <c r="A30" s="18"/>
      <c r="B30" s="19">
        <f t="shared" ref="B30:J30" si="0">+B28+B27-B29</f>
        <v>0</v>
      </c>
      <c r="C30" s="19">
        <f t="shared" si="0"/>
        <v>0</v>
      </c>
      <c r="D30" s="19">
        <f t="shared" si="0"/>
        <v>0</v>
      </c>
      <c r="E30" s="19">
        <f t="shared" si="0"/>
        <v>0</v>
      </c>
      <c r="F30" s="19">
        <f t="shared" si="0"/>
        <v>0</v>
      </c>
      <c r="G30" s="19">
        <f t="shared" si="0"/>
        <v>0</v>
      </c>
      <c r="H30" s="19">
        <f t="shared" si="0"/>
        <v>0</v>
      </c>
      <c r="I30" s="19">
        <f t="shared" si="0"/>
        <v>0</v>
      </c>
      <c r="J30" s="19">
        <f t="shared" si="0"/>
        <v>0</v>
      </c>
      <c r="K30" s="19"/>
    </row>
    <row r="31" spans="1:12" ht="19.5" customHeight="1">
      <c r="A31" s="4" t="s">
        <v>28</v>
      </c>
    </row>
    <row r="32" spans="1:12" ht="19.5" customHeight="1">
      <c r="A32" s="4" t="s">
        <v>29</v>
      </c>
    </row>
    <row r="33" ht="30" customHeight="1"/>
    <row r="34" ht="30" customHeight="1"/>
    <row r="35" ht="30" customHeight="1"/>
    <row r="36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</sheetData>
  <mergeCells count="7">
    <mergeCell ref="A26:K26"/>
    <mergeCell ref="A22:K22"/>
    <mergeCell ref="A1:K1"/>
    <mergeCell ref="A2:K2"/>
    <mergeCell ref="A7:K7"/>
    <mergeCell ref="A14:K14"/>
    <mergeCell ref="A24:K24"/>
  </mergeCells>
  <conditionalFormatting sqref="B8:J13">
    <cfRule type="cellIs" dxfId="45" priority="2" operator="lessThan">
      <formula>0</formula>
    </cfRule>
  </conditionalFormatting>
  <conditionalFormatting sqref="B15:J21">
    <cfRule type="cellIs" dxfId="44" priority="1" operator="lessThan">
      <formula>0</formula>
    </cfRule>
  </conditionalFormatting>
  <printOptions horizontalCentered="1" verticalCentered="1"/>
  <pageMargins left="0.5" right="0.5" top="0.21" bottom="0.7" header="0.21" footer="0.5"/>
  <pageSetup scale="62" orientation="landscape" r:id="rId1"/>
  <headerFooter alignWithMargins="0">
    <oddHeader xml:space="preserve">&amp;C&amp;"Arial,Bold Italic"&amp;14 </oddHeader>
    <oddFooter>&amp;C&amp;14Fairs and Expositions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44"/>
  <sheetViews>
    <sheetView view="pageBreakPreview" zoomScale="85" zoomScaleNormal="100" zoomScaleSheetLayoutView="85" workbookViewId="0">
      <selection activeCell="E6" sqref="E6"/>
    </sheetView>
  </sheetViews>
  <sheetFormatPr defaultRowHeight="12.75"/>
  <cols>
    <col min="1" max="1" width="4.7109375" style="20" customWidth="1"/>
    <col min="2" max="2" width="56.42578125" style="20" customWidth="1"/>
    <col min="3" max="7" width="12.7109375" style="20" customWidth="1"/>
    <col min="8" max="8" width="14.5703125" style="20" customWidth="1"/>
    <col min="9" max="9" width="13.7109375" style="20" customWidth="1"/>
    <col min="10" max="10" width="9.7109375" style="20" bestFit="1" customWidth="1"/>
    <col min="11" max="11" width="11.7109375" style="20" bestFit="1" customWidth="1"/>
    <col min="12" max="16384" width="9.140625" style="20"/>
  </cols>
  <sheetData>
    <row r="1" spans="1:14" ht="12" customHeight="1">
      <c r="A1" s="356"/>
      <c r="B1" s="357"/>
      <c r="C1" s="252"/>
      <c r="D1" s="252"/>
      <c r="E1" s="252"/>
      <c r="F1" s="252"/>
      <c r="G1" s="252"/>
    </row>
    <row r="2" spans="1:14" ht="12" customHeight="1">
      <c r="A2" s="374"/>
      <c r="B2" s="375"/>
      <c r="C2" s="367" t="s">
        <v>187</v>
      </c>
      <c r="D2" s="367" t="s">
        <v>188</v>
      </c>
      <c r="E2" s="367" t="s">
        <v>189</v>
      </c>
      <c r="F2" s="367" t="s">
        <v>190</v>
      </c>
      <c r="G2" s="367" t="s">
        <v>226</v>
      </c>
    </row>
    <row r="3" spans="1:14" ht="69" customHeight="1">
      <c r="A3" s="374"/>
      <c r="B3" s="375"/>
      <c r="C3" s="367"/>
      <c r="D3" s="367"/>
      <c r="E3" s="367"/>
      <c r="F3" s="367"/>
      <c r="G3" s="367"/>
      <c r="I3" s="20" t="s">
        <v>41</v>
      </c>
    </row>
    <row r="4" spans="1:14" ht="13.5" customHeight="1">
      <c r="A4" s="312" t="s">
        <v>205</v>
      </c>
      <c r="B4" s="312"/>
      <c r="C4" s="24"/>
      <c r="D4" s="24"/>
      <c r="E4" s="24"/>
      <c r="F4" s="24"/>
      <c r="G4" s="25"/>
      <c r="H4" s="65"/>
      <c r="I4" s="65"/>
      <c r="J4" s="65"/>
      <c r="K4" s="65"/>
      <c r="L4" s="65"/>
      <c r="M4" s="65"/>
      <c r="N4" s="65"/>
    </row>
    <row r="5" spans="1:14" ht="13.5" customHeight="1">
      <c r="A5" s="260"/>
      <c r="B5" s="36" t="s">
        <v>42</v>
      </c>
      <c r="C5" s="249">
        <v>11308993</v>
      </c>
      <c r="D5" s="249">
        <v>31412944</v>
      </c>
      <c r="E5" s="249">
        <v>4892848</v>
      </c>
      <c r="F5" s="249">
        <v>-1676508</v>
      </c>
      <c r="G5" s="249">
        <v>8931508</v>
      </c>
    </row>
    <row r="6" spans="1:14" ht="13.5" customHeight="1">
      <c r="A6" s="260"/>
      <c r="B6" s="28" t="s">
        <v>43</v>
      </c>
      <c r="C6" s="42">
        <v>170339</v>
      </c>
      <c r="D6" s="42">
        <v>112500</v>
      </c>
      <c r="E6" s="42">
        <v>0</v>
      </c>
      <c r="F6" s="42">
        <v>483139</v>
      </c>
      <c r="G6" s="42">
        <v>0</v>
      </c>
    </row>
    <row r="7" spans="1:14" ht="13.5" customHeight="1">
      <c r="A7" s="260"/>
      <c r="B7" s="22" t="s">
        <v>44</v>
      </c>
      <c r="C7" s="42">
        <v>21480075</v>
      </c>
      <c r="D7" s="42">
        <v>47404934</v>
      </c>
      <c r="E7" s="42">
        <v>7875757</v>
      </c>
      <c r="F7" s="42">
        <v>14662163</v>
      </c>
      <c r="G7" s="42">
        <v>39514893</v>
      </c>
    </row>
    <row r="8" spans="1:14" ht="13.5" customHeight="1">
      <c r="A8" s="260"/>
      <c r="B8" s="22" t="s">
        <v>45</v>
      </c>
      <c r="C8" s="41">
        <v>-26176229</v>
      </c>
      <c r="D8" s="41">
        <v>-12611418</v>
      </c>
      <c r="E8" s="41">
        <v>-224380</v>
      </c>
      <c r="F8" s="41">
        <v>-8935929</v>
      </c>
      <c r="G8" s="42">
        <v>-1554730</v>
      </c>
      <c r="I8" s="69">
        <f>SUM(C8:D8)</f>
        <v>-38787647</v>
      </c>
    </row>
    <row r="9" spans="1:14" s="33" customFormat="1" ht="13.5" customHeight="1" thickBot="1">
      <c r="A9" s="259"/>
      <c r="B9" s="115" t="s">
        <v>46</v>
      </c>
      <c r="C9" s="78">
        <f>SUM(C5:C8)</f>
        <v>6783178</v>
      </c>
      <c r="D9" s="78">
        <f t="shared" ref="D9:F9" si="0">SUM(D5:D8)</f>
        <v>66318960</v>
      </c>
      <c r="E9" s="78">
        <f t="shared" si="0"/>
        <v>12544225</v>
      </c>
      <c r="F9" s="78">
        <f t="shared" si="0"/>
        <v>4532865</v>
      </c>
      <c r="G9" s="78">
        <f t="shared" ref="G9" si="1">SUM(G5:G8)</f>
        <v>46891671</v>
      </c>
      <c r="I9" s="69">
        <f>SUM(C9:D9)</f>
        <v>73102138</v>
      </c>
    </row>
    <row r="10" spans="1:14" s="33" customFormat="1" ht="13.5" customHeight="1">
      <c r="A10" s="257" t="s">
        <v>47</v>
      </c>
      <c r="B10" s="47"/>
      <c r="C10" s="53"/>
      <c r="D10" s="53"/>
      <c r="E10" s="53"/>
      <c r="F10" s="53"/>
      <c r="G10" s="53"/>
    </row>
    <row r="11" spans="1:14" s="33" customFormat="1" ht="13.5" customHeight="1">
      <c r="A11" s="258"/>
      <c r="B11" s="34" t="s">
        <v>48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I11" s="69">
        <f>SUM(C11:D11)</f>
        <v>0</v>
      </c>
    </row>
    <row r="12" spans="1:14" s="33" customFormat="1" ht="13.5" customHeight="1">
      <c r="A12" s="258"/>
      <c r="B12" s="34" t="s">
        <v>49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I12" s="69">
        <f>SUM(C12:D12)</f>
        <v>0</v>
      </c>
    </row>
    <row r="13" spans="1:14" s="33" customFormat="1" ht="13.5" customHeight="1" thickBot="1">
      <c r="A13" s="259"/>
      <c r="B13" s="43" t="s">
        <v>50</v>
      </c>
      <c r="C13" s="44">
        <v>0</v>
      </c>
      <c r="D13" s="44">
        <v>0</v>
      </c>
      <c r="E13" s="44">
        <v>0</v>
      </c>
      <c r="F13" s="44">
        <v>-2</v>
      </c>
      <c r="G13" s="44">
        <v>0</v>
      </c>
      <c r="I13" s="69">
        <f>SUM(C13:D13)</f>
        <v>0</v>
      </c>
    </row>
    <row r="14" spans="1:14" ht="13.5" customHeight="1">
      <c r="A14" s="254" t="s">
        <v>51</v>
      </c>
      <c r="B14" s="36"/>
      <c r="C14" s="38"/>
      <c r="D14" s="38"/>
      <c r="E14" s="38"/>
      <c r="F14" s="38"/>
      <c r="G14" s="38"/>
    </row>
    <row r="15" spans="1:14" ht="13.5" customHeight="1">
      <c r="A15" s="260"/>
      <c r="B15" s="40" t="s">
        <v>52</v>
      </c>
      <c r="C15" s="41">
        <v>8639251</v>
      </c>
      <c r="D15" s="41">
        <v>10492464</v>
      </c>
      <c r="E15" s="41">
        <v>4078930</v>
      </c>
      <c r="F15" s="41">
        <v>4677996</v>
      </c>
      <c r="G15" s="41">
        <v>11483208</v>
      </c>
    </row>
    <row r="16" spans="1:14" ht="13.5" customHeight="1">
      <c r="A16" s="260"/>
      <c r="B16" s="40" t="s">
        <v>53</v>
      </c>
      <c r="C16" s="41">
        <v>3503313</v>
      </c>
      <c r="D16" s="41">
        <v>1480745</v>
      </c>
      <c r="E16" s="41">
        <v>830392</v>
      </c>
      <c r="F16" s="41">
        <v>1366801</v>
      </c>
      <c r="G16" s="41">
        <v>3469680</v>
      </c>
    </row>
    <row r="17" spans="1:11" ht="13.5" customHeight="1">
      <c r="A17" s="260"/>
      <c r="B17" s="40" t="s">
        <v>54</v>
      </c>
      <c r="C17" s="41">
        <v>11605620</v>
      </c>
      <c r="D17" s="41">
        <v>3800659</v>
      </c>
      <c r="E17" s="41">
        <v>1872113</v>
      </c>
      <c r="F17" s="41">
        <v>2049733</v>
      </c>
      <c r="G17" s="41">
        <v>0</v>
      </c>
    </row>
    <row r="18" spans="1:11" ht="13.5" customHeight="1">
      <c r="A18" s="260"/>
      <c r="B18" s="40" t="s">
        <v>55</v>
      </c>
      <c r="C18" s="41">
        <v>4802105</v>
      </c>
      <c r="D18" s="41">
        <v>7919060</v>
      </c>
      <c r="E18" s="41">
        <v>1763691</v>
      </c>
      <c r="F18" s="41">
        <v>2345522</v>
      </c>
      <c r="G18" s="41">
        <v>9684866</v>
      </c>
    </row>
    <row r="19" spans="1:11" ht="13.5" customHeight="1">
      <c r="A19" s="260"/>
      <c r="B19" s="40" t="s">
        <v>56</v>
      </c>
      <c r="C19" s="41">
        <v>1057402</v>
      </c>
      <c r="D19" s="41">
        <v>100900</v>
      </c>
      <c r="E19" s="41">
        <v>98851</v>
      </c>
      <c r="F19" s="41">
        <v>546788</v>
      </c>
      <c r="G19" s="41">
        <v>549089</v>
      </c>
    </row>
    <row r="20" spans="1:11" ht="13.5" customHeight="1">
      <c r="A20" s="260"/>
      <c r="B20" s="40" t="s">
        <v>57</v>
      </c>
      <c r="C20" s="41">
        <v>2088178</v>
      </c>
      <c r="D20" s="41">
        <v>0</v>
      </c>
      <c r="E20" s="41">
        <v>2002044</v>
      </c>
      <c r="F20" s="41">
        <v>0</v>
      </c>
      <c r="G20" s="41">
        <v>0</v>
      </c>
    </row>
    <row r="21" spans="1:11" ht="13.5" customHeight="1">
      <c r="A21" s="260"/>
      <c r="B21" s="40" t="s">
        <v>58</v>
      </c>
      <c r="C21" s="42">
        <v>0</v>
      </c>
      <c r="D21" s="42">
        <v>0</v>
      </c>
      <c r="E21" s="42">
        <v>1930566</v>
      </c>
      <c r="F21" s="42">
        <v>1018478</v>
      </c>
      <c r="G21" s="42">
        <v>400000</v>
      </c>
    </row>
    <row r="22" spans="1:11" ht="13.5" customHeight="1">
      <c r="A22" s="260"/>
      <c r="B22" s="40" t="s">
        <v>59</v>
      </c>
      <c r="C22" s="41">
        <v>1801682</v>
      </c>
      <c r="D22" s="41">
        <v>0</v>
      </c>
      <c r="E22" s="41">
        <v>1520149</v>
      </c>
      <c r="F22" s="41">
        <v>933905</v>
      </c>
      <c r="G22" s="41">
        <v>2627956</v>
      </c>
    </row>
    <row r="23" spans="1:11" ht="13.5" customHeight="1">
      <c r="A23" s="260"/>
      <c r="B23" s="40" t="s">
        <v>60</v>
      </c>
      <c r="C23" s="41">
        <v>1185534</v>
      </c>
      <c r="D23" s="41">
        <v>3965673</v>
      </c>
      <c r="E23" s="41">
        <v>799176</v>
      </c>
      <c r="F23" s="41">
        <v>0</v>
      </c>
      <c r="G23" s="41">
        <v>0</v>
      </c>
    </row>
    <row r="24" spans="1:11" ht="13.5" customHeight="1">
      <c r="A24" s="260"/>
      <c r="B24" s="40" t="s">
        <v>61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</row>
    <row r="25" spans="1:11" ht="13.5" customHeight="1">
      <c r="A25" s="260"/>
      <c r="B25" s="40" t="s">
        <v>62</v>
      </c>
      <c r="C25" s="41">
        <v>0</v>
      </c>
      <c r="D25" s="41">
        <v>361648</v>
      </c>
      <c r="E25" s="41">
        <v>0</v>
      </c>
      <c r="F25" s="41">
        <v>711454</v>
      </c>
      <c r="G25" s="41">
        <v>0</v>
      </c>
    </row>
    <row r="26" spans="1:11" ht="13.5" customHeight="1">
      <c r="A26" s="260"/>
      <c r="B26" s="40" t="s">
        <v>63</v>
      </c>
      <c r="C26" s="41">
        <v>5573969</v>
      </c>
      <c r="D26" s="41">
        <v>5631896</v>
      </c>
      <c r="E26" s="41">
        <v>671564</v>
      </c>
      <c r="F26" s="41">
        <v>4929293</v>
      </c>
      <c r="G26" s="41">
        <v>7370614</v>
      </c>
    </row>
    <row r="27" spans="1:11" ht="13.5" customHeight="1">
      <c r="A27" s="260"/>
      <c r="B27" s="40" t="s">
        <v>151</v>
      </c>
      <c r="C27" s="41">
        <v>947276</v>
      </c>
      <c r="D27" s="41">
        <v>63491</v>
      </c>
      <c r="E27" s="41">
        <v>0</v>
      </c>
      <c r="F27" s="41">
        <v>831011</v>
      </c>
      <c r="G27" s="41">
        <v>714487</v>
      </c>
    </row>
    <row r="28" spans="1:11" ht="13.5" customHeight="1">
      <c r="A28" s="260"/>
      <c r="B28" s="40" t="s">
        <v>65</v>
      </c>
      <c r="C28" s="41">
        <v>34870088</v>
      </c>
      <c r="D28" s="41">
        <v>9605764</v>
      </c>
      <c r="E28" s="41">
        <v>6368671</v>
      </c>
      <c r="F28" s="41">
        <v>7170057</v>
      </c>
      <c r="G28" s="41">
        <v>10308482</v>
      </c>
      <c r="I28" s="31">
        <f>SUM(C28:D28)</f>
        <v>44475852</v>
      </c>
    </row>
    <row r="29" spans="1:11" ht="13.5" customHeight="1">
      <c r="A29" s="260"/>
      <c r="B29" s="40" t="s">
        <v>66</v>
      </c>
      <c r="C29" s="41">
        <v>0</v>
      </c>
      <c r="D29" s="41">
        <v>2191</v>
      </c>
      <c r="E29" s="41">
        <v>0</v>
      </c>
      <c r="F29" s="41">
        <v>-10507</v>
      </c>
      <c r="G29" s="41">
        <v>0</v>
      </c>
      <c r="I29" s="31">
        <f>SUM(C29:D29)</f>
        <v>2191</v>
      </c>
    </row>
    <row r="30" spans="1:11" ht="13.5" customHeight="1">
      <c r="A30" s="260"/>
      <c r="B30" s="40" t="s">
        <v>67</v>
      </c>
      <c r="C30" s="42">
        <v>706851</v>
      </c>
      <c r="D30" s="42">
        <v>340337</v>
      </c>
      <c r="E30" s="42">
        <v>4482461</v>
      </c>
      <c r="F30" s="42">
        <v>140844</v>
      </c>
      <c r="G30" s="42">
        <v>27612882</v>
      </c>
      <c r="I30" s="31">
        <f>SUM(C30:D30)</f>
        <v>1047188</v>
      </c>
      <c r="J30" s="31">
        <f>+I30+I29</f>
        <v>1049379</v>
      </c>
      <c r="K30" s="20" t="s">
        <v>68</v>
      </c>
    </row>
    <row r="31" spans="1:11" s="33" customFormat="1" ht="13.5" customHeight="1" thickBot="1">
      <c r="A31" s="256" t="s">
        <v>69</v>
      </c>
      <c r="B31" s="43"/>
      <c r="C31" s="44">
        <f>SUM(C15:C30)</f>
        <v>76781269</v>
      </c>
      <c r="D31" s="44">
        <f>SUM(D15:D30)</f>
        <v>43764828</v>
      </c>
      <c r="E31" s="44">
        <f>SUM(E15:E30)</f>
        <v>26418608</v>
      </c>
      <c r="F31" s="44">
        <f>SUM(F15:F30)</f>
        <v>26711375</v>
      </c>
      <c r="G31" s="44">
        <f>SUM(G15:G30)</f>
        <v>74221264</v>
      </c>
      <c r="H31" s="151">
        <f>AVERAGE(C31:G31)</f>
        <v>49579468.799999997</v>
      </c>
      <c r="I31" s="45">
        <f>SUM(C31:D31)+SUM(C11:D13)</f>
        <v>120546097</v>
      </c>
      <c r="K31" s="45">
        <f>+I31+'Class 6'!I31+'Class 5'!H31+'Class 4+'!J31+'Class 4'!L31+'Class 3+'!R31+'Class 3'!R31+'Class 2'!M31+'Class 1'!Q31</f>
        <v>222420543.81999999</v>
      </c>
    </row>
    <row r="32" spans="1:11" ht="13.5" customHeight="1">
      <c r="A32" s="254" t="s">
        <v>71</v>
      </c>
      <c r="B32" s="36"/>
      <c r="C32" s="38"/>
      <c r="D32" s="38"/>
      <c r="E32" s="38"/>
      <c r="F32" s="38"/>
      <c r="G32" s="38"/>
    </row>
    <row r="33" spans="1:9" ht="13.5" customHeight="1">
      <c r="A33" s="260"/>
      <c r="B33" s="40" t="s">
        <v>72</v>
      </c>
      <c r="C33" s="41">
        <v>25674206</v>
      </c>
      <c r="D33" s="41">
        <v>5373707</v>
      </c>
      <c r="E33" s="41">
        <v>1848613</v>
      </c>
      <c r="F33" s="41">
        <v>6173988</v>
      </c>
      <c r="G33" s="41">
        <v>41129882</v>
      </c>
      <c r="I33" s="31">
        <f>SUM(C33:D33)</f>
        <v>31047913</v>
      </c>
    </row>
    <row r="34" spans="1:9" ht="13.5" customHeight="1">
      <c r="A34" s="260"/>
      <c r="B34" s="40" t="s">
        <v>73</v>
      </c>
      <c r="C34" s="41">
        <v>9962885</v>
      </c>
      <c r="D34" s="41">
        <v>10986539</v>
      </c>
      <c r="E34" s="41">
        <v>3142889</v>
      </c>
      <c r="F34" s="41">
        <v>10706923</v>
      </c>
      <c r="G34" s="41">
        <v>6544543</v>
      </c>
      <c r="I34" s="31">
        <f>SUM(C34:D34)</f>
        <v>20949424</v>
      </c>
    </row>
    <row r="35" spans="1:9" ht="13.5" customHeight="1">
      <c r="A35" s="260"/>
      <c r="B35" s="40" t="s">
        <v>74</v>
      </c>
      <c r="C35" s="41">
        <v>2855992</v>
      </c>
      <c r="D35" s="41">
        <v>2559685</v>
      </c>
      <c r="E35" s="41">
        <v>1103731</v>
      </c>
      <c r="F35" s="41">
        <v>2100176</v>
      </c>
      <c r="G35" s="41">
        <v>3201363</v>
      </c>
    </row>
    <row r="36" spans="1:9" ht="13.5" customHeight="1">
      <c r="A36" s="260"/>
      <c r="B36" s="40" t="s">
        <v>75</v>
      </c>
      <c r="C36" s="41">
        <v>4882881</v>
      </c>
      <c r="D36" s="41">
        <v>3273144</v>
      </c>
      <c r="E36" s="41">
        <v>2695416</v>
      </c>
      <c r="F36" s="41">
        <v>1783146</v>
      </c>
      <c r="G36" s="41">
        <v>569201</v>
      </c>
    </row>
    <row r="37" spans="1:9" ht="13.5" customHeight="1">
      <c r="A37" s="260"/>
      <c r="B37" s="40" t="s">
        <v>63</v>
      </c>
      <c r="C37" s="41">
        <v>1121275</v>
      </c>
      <c r="D37" s="41">
        <v>559562</v>
      </c>
      <c r="E37" s="41">
        <v>0</v>
      </c>
      <c r="F37" s="41">
        <v>0</v>
      </c>
      <c r="G37" s="41">
        <v>3826090</v>
      </c>
    </row>
    <row r="38" spans="1:9" ht="13.5" customHeight="1">
      <c r="A38" s="260"/>
      <c r="B38" s="40" t="s">
        <v>76</v>
      </c>
      <c r="C38" s="41">
        <v>4614140</v>
      </c>
      <c r="D38" s="41">
        <v>449303</v>
      </c>
      <c r="E38" s="41">
        <v>0</v>
      </c>
      <c r="F38" s="41">
        <v>0</v>
      </c>
      <c r="G38" s="41">
        <v>4387034</v>
      </c>
    </row>
    <row r="39" spans="1:9" ht="13.5" customHeight="1">
      <c r="A39" s="260"/>
      <c r="B39" s="40" t="s">
        <v>77</v>
      </c>
      <c r="C39" s="41">
        <v>444880</v>
      </c>
      <c r="D39" s="41">
        <v>117664</v>
      </c>
      <c r="E39" s="41">
        <v>240241</v>
      </c>
      <c r="F39" s="41">
        <v>0</v>
      </c>
      <c r="G39" s="41">
        <v>19909</v>
      </c>
    </row>
    <row r="40" spans="1:9" ht="13.5" customHeight="1">
      <c r="A40" s="260"/>
      <c r="B40" s="40" t="s">
        <v>56</v>
      </c>
      <c r="C40" s="41">
        <v>10482792</v>
      </c>
      <c r="D40" s="41">
        <v>1630926</v>
      </c>
      <c r="E40" s="41">
        <v>920896</v>
      </c>
      <c r="F40" s="41">
        <v>2462794</v>
      </c>
      <c r="G40" s="41">
        <v>2777866</v>
      </c>
    </row>
    <row r="41" spans="1:9">
      <c r="A41" s="260"/>
      <c r="B41" s="40" t="s">
        <v>57</v>
      </c>
      <c r="C41" s="41">
        <v>1196414</v>
      </c>
      <c r="D41" s="41">
        <v>0</v>
      </c>
      <c r="E41" s="41">
        <v>2138862</v>
      </c>
      <c r="F41" s="41">
        <v>0</v>
      </c>
      <c r="G41" s="41">
        <v>0</v>
      </c>
    </row>
    <row r="42" spans="1:9" ht="13.5" customHeight="1">
      <c r="A42" s="260"/>
      <c r="B42" s="40" t="s">
        <v>58</v>
      </c>
      <c r="C42" s="41">
        <v>0</v>
      </c>
      <c r="D42" s="41">
        <v>0</v>
      </c>
      <c r="E42" s="41">
        <v>1713065</v>
      </c>
      <c r="F42" s="41">
        <v>1068857</v>
      </c>
      <c r="G42" s="41">
        <v>264328</v>
      </c>
    </row>
    <row r="43" spans="1:9" ht="13.5" customHeight="1">
      <c r="A43" s="260"/>
      <c r="B43" s="40" t="s">
        <v>59</v>
      </c>
      <c r="C43" s="41">
        <v>1374397</v>
      </c>
      <c r="D43" s="41">
        <v>0</v>
      </c>
      <c r="E43" s="41">
        <v>1243898</v>
      </c>
      <c r="F43" s="41">
        <v>405748</v>
      </c>
      <c r="G43" s="41">
        <v>959295</v>
      </c>
    </row>
    <row r="44" spans="1:9" ht="13.5" customHeight="1">
      <c r="A44" s="260"/>
      <c r="B44" s="40" t="s">
        <v>78</v>
      </c>
      <c r="C44" s="41">
        <v>4854946</v>
      </c>
      <c r="D44" s="41">
        <v>6284851</v>
      </c>
      <c r="E44" s="41">
        <v>1857449</v>
      </c>
      <c r="F44" s="41">
        <v>1520864</v>
      </c>
      <c r="G44" s="41">
        <v>4516078</v>
      </c>
    </row>
    <row r="45" spans="1:9" ht="13.5" customHeight="1">
      <c r="A45" s="260"/>
      <c r="B45" s="40" t="s">
        <v>61</v>
      </c>
      <c r="C45" s="41">
        <v>0</v>
      </c>
      <c r="D45" s="41">
        <v>556265</v>
      </c>
      <c r="E45" s="41">
        <v>736800</v>
      </c>
      <c r="F45" s="41">
        <v>0</v>
      </c>
      <c r="G45" s="41">
        <v>0</v>
      </c>
    </row>
    <row r="46" spans="1:9" ht="13.5" customHeight="1">
      <c r="A46" s="260"/>
      <c r="B46" s="40" t="s">
        <v>79</v>
      </c>
      <c r="C46" s="41">
        <v>1473388</v>
      </c>
      <c r="D46" s="41">
        <v>0</v>
      </c>
      <c r="E46" s="41">
        <v>3442389</v>
      </c>
      <c r="F46" s="41">
        <v>0</v>
      </c>
      <c r="G46" s="41">
        <v>0</v>
      </c>
    </row>
    <row r="47" spans="1:9" ht="13.5" customHeight="1">
      <c r="A47" s="260"/>
      <c r="B47" s="40" t="s">
        <v>80</v>
      </c>
      <c r="C47" s="41">
        <v>0</v>
      </c>
      <c r="D47" s="41">
        <v>0</v>
      </c>
      <c r="E47" s="41">
        <v>0</v>
      </c>
      <c r="F47" s="41">
        <v>254536</v>
      </c>
      <c r="G47" s="41">
        <v>0</v>
      </c>
    </row>
    <row r="48" spans="1:9" ht="13.5" customHeight="1">
      <c r="A48" s="260"/>
      <c r="B48" s="40" t="s">
        <v>81</v>
      </c>
      <c r="C48" s="41">
        <v>157774</v>
      </c>
      <c r="D48" s="41">
        <v>31909</v>
      </c>
      <c r="E48" s="41">
        <v>0</v>
      </c>
      <c r="F48" s="41">
        <v>5386</v>
      </c>
      <c r="G48" s="41">
        <v>0</v>
      </c>
    </row>
    <row r="49" spans="1:11" ht="13.5" customHeight="1">
      <c r="A49" s="260"/>
      <c r="B49" s="40" t="s">
        <v>82</v>
      </c>
      <c r="C49" s="41">
        <v>488</v>
      </c>
      <c r="D49" s="41">
        <v>11669</v>
      </c>
      <c r="E49" s="41">
        <v>0</v>
      </c>
      <c r="F49" s="41">
        <v>0</v>
      </c>
      <c r="G49" s="41">
        <v>0</v>
      </c>
    </row>
    <row r="50" spans="1:11" ht="13.5" customHeight="1">
      <c r="A50" s="260"/>
      <c r="B50" s="40" t="s">
        <v>83</v>
      </c>
      <c r="C50" s="41">
        <v>0</v>
      </c>
      <c r="D50" s="41">
        <v>0</v>
      </c>
      <c r="E50" s="41">
        <v>3976879</v>
      </c>
      <c r="F50" s="41">
        <v>0</v>
      </c>
      <c r="G50" s="41">
        <v>0</v>
      </c>
    </row>
    <row r="51" spans="1:11" s="33" customFormat="1" ht="13.5" customHeight="1" thickBot="1">
      <c r="A51" s="256" t="s">
        <v>84</v>
      </c>
      <c r="B51" s="43"/>
      <c r="C51" s="44">
        <f>SUM(C33:C50)</f>
        <v>69096458</v>
      </c>
      <c r="D51" s="44">
        <f>SUM(D33:D50)</f>
        <v>31835224</v>
      </c>
      <c r="E51" s="44">
        <f>SUM(E33:E50)</f>
        <v>25061128</v>
      </c>
      <c r="F51" s="44">
        <f>SUM(F33:F50)</f>
        <v>26482418</v>
      </c>
      <c r="G51" s="44">
        <f>SUM(G33:G50)</f>
        <v>68195589</v>
      </c>
      <c r="H51" s="91">
        <f>AVERAGE(C51:G51)</f>
        <v>44134163.399999999</v>
      </c>
      <c r="I51" s="45">
        <f>+SUM(C51:D51)+SUM(C53:D53)-C52-D52</f>
        <v>111062441</v>
      </c>
      <c r="K51" s="45">
        <f>+I51+'Class 6'!I51+'Class 5'!H51+'Class 4+'!J51+'Class 4'!L51+'Class 3+'!R51+'Class 3'!R51+'Class 2'!M51+'Class 1'!Q51</f>
        <v>208852005.90599999</v>
      </c>
    </row>
    <row r="52" spans="1:11" ht="13.5" customHeight="1">
      <c r="A52" s="271" t="s">
        <v>85</v>
      </c>
      <c r="B52" s="87"/>
      <c r="C52" s="152">
        <f>-2378960-3145000</f>
        <v>-5523960</v>
      </c>
      <c r="D52" s="90"/>
      <c r="E52" s="88"/>
      <c r="F52" s="88"/>
      <c r="G52" s="88"/>
      <c r="H52" s="107"/>
    </row>
    <row r="53" spans="1:11" s="33" customFormat="1" ht="13.5" customHeight="1">
      <c r="A53" s="258"/>
      <c r="B53" s="34" t="s">
        <v>86</v>
      </c>
      <c r="C53" s="35">
        <v>1461636</v>
      </c>
      <c r="D53" s="35">
        <v>3145163</v>
      </c>
      <c r="E53" s="35">
        <v>976246</v>
      </c>
      <c r="F53" s="35">
        <v>1685442</v>
      </c>
      <c r="G53" s="35">
        <v>6189805</v>
      </c>
      <c r="H53" s="91"/>
      <c r="I53" s="31">
        <f>SUM(C53:D53)</f>
        <v>4606799</v>
      </c>
    </row>
    <row r="54" spans="1:11" s="33" customFormat="1" ht="13.5" customHeight="1">
      <c r="A54" s="261"/>
      <c r="B54" s="47" t="s">
        <v>207</v>
      </c>
      <c r="C54" s="35">
        <v>2777705</v>
      </c>
      <c r="D54" s="53">
        <v>1149939</v>
      </c>
      <c r="E54" s="53">
        <v>0</v>
      </c>
      <c r="F54" s="53">
        <v>326333</v>
      </c>
      <c r="G54" s="53">
        <v>0</v>
      </c>
      <c r="H54" s="91"/>
      <c r="I54" s="31">
        <f>SUM(C54:D54)</f>
        <v>3927644</v>
      </c>
    </row>
    <row r="55" spans="1:11" s="33" customFormat="1" ht="13.5" customHeight="1">
      <c r="A55" s="257" t="s">
        <v>208</v>
      </c>
      <c r="B55" s="47"/>
      <c r="C55" s="35">
        <f t="shared" ref="C55:F55" si="2">+C31-C51</f>
        <v>7684811</v>
      </c>
      <c r="D55" s="35">
        <f t="shared" si="2"/>
        <v>11929604</v>
      </c>
      <c r="E55" s="35">
        <f t="shared" si="2"/>
        <v>1357480</v>
      </c>
      <c r="F55" s="35">
        <f t="shared" si="2"/>
        <v>228957</v>
      </c>
      <c r="G55" s="35">
        <f t="shared" ref="G55" si="3">+G31-G51</f>
        <v>6025675</v>
      </c>
      <c r="H55" s="91">
        <f>AVERAGE(C55:G55)</f>
        <v>5445305.4000000004</v>
      </c>
    </row>
    <row r="56" spans="1:11" s="33" customFormat="1" ht="13.5" customHeight="1">
      <c r="A56" s="257" t="s">
        <v>209</v>
      </c>
      <c r="B56" s="47"/>
      <c r="C56" s="35">
        <f>+C31-C51-C53-C54</f>
        <v>3445470</v>
      </c>
      <c r="D56" s="35">
        <f t="shared" ref="D56:F56" si="4">+D31-D51-D53-D54</f>
        <v>7634502</v>
      </c>
      <c r="E56" s="35">
        <f t="shared" si="4"/>
        <v>381234</v>
      </c>
      <c r="F56" s="35">
        <f t="shared" si="4"/>
        <v>-1782818</v>
      </c>
      <c r="G56" s="35">
        <f t="shared" ref="G56" si="5">+G31-G51-G53-G54</f>
        <v>-164130</v>
      </c>
      <c r="H56" s="91">
        <f>AVERAGE(C56:G56)</f>
        <v>1902851.6</v>
      </c>
    </row>
    <row r="57" spans="1:11" s="33" customFormat="1" ht="13.5" customHeight="1">
      <c r="A57" s="257" t="s">
        <v>210</v>
      </c>
      <c r="B57" s="47"/>
      <c r="C57" s="35">
        <f t="shared" ref="C57:F57" si="6">+C11+C12+C13+C31+-C51</f>
        <v>7684811</v>
      </c>
      <c r="D57" s="35">
        <f t="shared" si="6"/>
        <v>11929604</v>
      </c>
      <c r="E57" s="35">
        <f t="shared" si="6"/>
        <v>1357480</v>
      </c>
      <c r="F57" s="35">
        <f t="shared" si="6"/>
        <v>228955</v>
      </c>
      <c r="G57" s="35">
        <f t="shared" ref="G57" si="7">+G11+G12+G13+G31+-G51</f>
        <v>6025675</v>
      </c>
      <c r="H57" s="91">
        <f>AVERAGE(C57:G57)</f>
        <v>5445305</v>
      </c>
    </row>
    <row r="58" spans="1:11" s="33" customFormat="1" ht="13.5" customHeight="1">
      <c r="A58" s="257" t="s">
        <v>211</v>
      </c>
      <c r="B58" s="47"/>
      <c r="C58" s="35">
        <f>+C11+C12+C13+C31-C51-C53-C54</f>
        <v>3445470</v>
      </c>
      <c r="D58" s="35">
        <f t="shared" ref="D58:F58" si="8">+D11+D12+D13+D31-D51-D53-D54</f>
        <v>7634502</v>
      </c>
      <c r="E58" s="35">
        <f t="shared" si="8"/>
        <v>381234</v>
      </c>
      <c r="F58" s="35">
        <f t="shared" si="8"/>
        <v>-1782820</v>
      </c>
      <c r="G58" s="35">
        <f t="shared" ref="G58" si="9">+G11+G12+G13+G31-G51-G53-G54</f>
        <v>-164130</v>
      </c>
      <c r="H58" s="91">
        <f>AVERAGE(C58:G58)</f>
        <v>1902851.2</v>
      </c>
      <c r="I58" s="45">
        <f>SUM(C58:D58)</f>
        <v>11079972</v>
      </c>
    </row>
    <row r="59" spans="1:11" ht="13.5" customHeight="1">
      <c r="A59" s="254" t="s">
        <v>206</v>
      </c>
      <c r="B59" s="116"/>
      <c r="C59" s="49"/>
      <c r="D59" s="49"/>
      <c r="E59" s="49"/>
      <c r="F59" s="49"/>
      <c r="G59" s="50"/>
      <c r="H59" s="107"/>
    </row>
    <row r="60" spans="1:11" ht="13.5" customHeight="1">
      <c r="A60" s="254"/>
      <c r="B60" s="36" t="s">
        <v>42</v>
      </c>
      <c r="C60" s="26">
        <v>10059482</v>
      </c>
      <c r="D60" s="42">
        <v>34951569</v>
      </c>
      <c r="E60" s="42">
        <v>4352536</v>
      </c>
      <c r="F60" s="42">
        <v>-2661064</v>
      </c>
      <c r="G60" s="27">
        <v>4395812</v>
      </c>
      <c r="H60" s="107">
        <f>SUM(C60:G60)/5</f>
        <v>10219667</v>
      </c>
    </row>
    <row r="61" spans="1:11" ht="13.5" customHeight="1">
      <c r="A61" s="254"/>
      <c r="B61" s="36" t="s">
        <v>220</v>
      </c>
      <c r="C61" s="26">
        <v>-26176229</v>
      </c>
      <c r="D61" s="42">
        <v>-12551873</v>
      </c>
      <c r="E61" s="42">
        <v>0</v>
      </c>
      <c r="F61" s="42">
        <v>-8609596</v>
      </c>
      <c r="G61" s="27">
        <v>0</v>
      </c>
      <c r="H61" s="107"/>
    </row>
    <row r="62" spans="1:11" ht="13.5" customHeight="1">
      <c r="A62" s="254"/>
      <c r="B62" s="36" t="s">
        <v>43</v>
      </c>
      <c r="C62" s="26">
        <v>185579</v>
      </c>
      <c r="D62" s="42">
        <v>0</v>
      </c>
      <c r="E62" s="27">
        <v>258571</v>
      </c>
      <c r="F62" s="42">
        <v>72266</v>
      </c>
      <c r="G62" s="27">
        <v>0</v>
      </c>
      <c r="H62" s="107">
        <f>MAX(C60:G60)</f>
        <v>34951569</v>
      </c>
    </row>
    <row r="63" spans="1:11" s="51" customFormat="1" ht="13.5" customHeight="1">
      <c r="A63" s="254"/>
      <c r="B63" s="36" t="s">
        <v>44</v>
      </c>
      <c r="C63" s="26">
        <v>20635856</v>
      </c>
      <c r="D63" s="42">
        <v>51553765</v>
      </c>
      <c r="E63" s="42">
        <v>8314352</v>
      </c>
      <c r="F63" s="42">
        <v>13948439</v>
      </c>
      <c r="G63" s="27">
        <v>42331729</v>
      </c>
      <c r="H63" s="153">
        <f>MIN(C60:G60)</f>
        <v>-2661064</v>
      </c>
    </row>
    <row r="64" spans="1:11" s="33" customFormat="1" ht="13.5" customHeight="1">
      <c r="A64" s="257"/>
      <c r="B64" s="52" t="s">
        <v>46</v>
      </c>
      <c r="C64" s="32">
        <f>SUM(C60:C63)</f>
        <v>4704688</v>
      </c>
      <c r="D64" s="32">
        <f>SUM(D60:D63)</f>
        <v>73953461</v>
      </c>
      <c r="E64" s="32">
        <f>SUM(E60:E63)</f>
        <v>12925459</v>
      </c>
      <c r="F64" s="32">
        <f>SUM(F60:F63)</f>
        <v>2750045</v>
      </c>
      <c r="G64" s="144">
        <f>SUM(G60:G63)</f>
        <v>46727541</v>
      </c>
      <c r="H64" s="154">
        <f>SUM(C64:D64)</f>
        <v>78658149</v>
      </c>
    </row>
    <row r="65" spans="1:8" s="56" customFormat="1" ht="13.5" customHeight="1">
      <c r="A65" s="263" t="s">
        <v>191</v>
      </c>
      <c r="B65" s="224"/>
      <c r="C65" s="273">
        <f>C60/(C51-C52)</f>
        <v>0.13480870611043749</v>
      </c>
      <c r="D65" s="273">
        <f>D60/(D51)</f>
        <v>1.0978898405112525</v>
      </c>
      <c r="E65" s="273">
        <f>E60/(E51-E32)</f>
        <v>0.17367677943307261</v>
      </c>
      <c r="F65" s="273">
        <f>F60/(F51)</f>
        <v>-0.10048417784206864</v>
      </c>
      <c r="G65" s="277">
        <f>G60/(G51)</f>
        <v>6.4458890442312913E-2</v>
      </c>
      <c r="H65" s="55">
        <f>AVERAGE(C65:G65)</f>
        <v>0.27407000773100137</v>
      </c>
    </row>
    <row r="66" spans="1:8" hidden="1">
      <c r="A66" s="222"/>
      <c r="B66" s="62" t="s">
        <v>88</v>
      </c>
      <c r="C66" s="145">
        <f>+C9+C11+C12+C13+C31-C51-C53-C64+C52-C54</f>
        <v>0</v>
      </c>
      <c r="D66" s="145">
        <f>+D9+D11+D12+D13+D31-D51-D53-D64-D54</f>
        <v>1</v>
      </c>
      <c r="E66" s="145">
        <f t="shared" ref="E66:F66" si="10">+E9+E11+E12+E13+E31-E51-E53-E64-E54</f>
        <v>0</v>
      </c>
      <c r="F66" s="145">
        <f t="shared" si="10"/>
        <v>0</v>
      </c>
      <c r="G66" s="246">
        <f t="shared" ref="G66" si="11">+G9+G11+G12+G13+G31-G51-G53-G64-G54</f>
        <v>0</v>
      </c>
      <c r="H66" s="140">
        <f>MAX(C65:G65)</f>
        <v>1.0978898405112525</v>
      </c>
    </row>
    <row r="67" spans="1:8" hidden="1">
      <c r="A67" s="234"/>
      <c r="B67" s="234"/>
      <c r="C67" s="145">
        <f>+C9+C58+C52-C64</f>
        <v>0</v>
      </c>
      <c r="D67" s="145">
        <f>+D9+D58+D52-D64</f>
        <v>1</v>
      </c>
      <c r="E67" s="119">
        <f>+E9+E58+E52-E64</f>
        <v>0</v>
      </c>
      <c r="F67" s="119">
        <f>+F9+F58+F52-F64</f>
        <v>0</v>
      </c>
      <c r="G67" s="80">
        <f>+G9+G58+G52-G64</f>
        <v>0</v>
      </c>
      <c r="H67" s="140">
        <f>MIN(C65:G65)</f>
        <v>-0.10048417784206864</v>
      </c>
    </row>
    <row r="68" spans="1:8" ht="13.5" customHeight="1">
      <c r="A68" s="234"/>
      <c r="B68" s="234"/>
      <c r="C68" s="145"/>
      <c r="D68" s="145"/>
      <c r="E68" s="119"/>
      <c r="F68" s="119"/>
      <c r="G68" s="80"/>
      <c r="H68" s="140"/>
    </row>
    <row r="69" spans="1:8" ht="13.5" customHeight="1">
      <c r="A69" s="213" t="s">
        <v>199</v>
      </c>
      <c r="B69" s="63"/>
      <c r="C69" s="63"/>
      <c r="D69" s="63"/>
      <c r="E69" s="119"/>
      <c r="F69" s="119"/>
      <c r="G69" s="94"/>
      <c r="H69" s="140"/>
    </row>
    <row r="70" spans="1:8" ht="12.75" customHeight="1">
      <c r="A70" s="210" t="s">
        <v>200</v>
      </c>
      <c r="B70" s="63"/>
      <c r="C70" s="63"/>
      <c r="D70" s="63"/>
    </row>
    <row r="71" spans="1:8" ht="12.75" customHeight="1">
      <c r="A71" s="211" t="s">
        <v>89</v>
      </c>
      <c r="B71" s="63"/>
      <c r="C71" s="157"/>
      <c r="D71" s="157"/>
    </row>
    <row r="72" spans="1:8">
      <c r="A72" s="212"/>
      <c r="B72" s="63"/>
      <c r="C72" s="61"/>
      <c r="D72" s="61"/>
    </row>
    <row r="73" spans="1:8" ht="12.75" customHeight="1">
      <c r="A73" s="210" t="s">
        <v>201</v>
      </c>
      <c r="B73" s="63"/>
      <c r="C73" s="63"/>
      <c r="D73" s="63"/>
    </row>
    <row r="74" spans="1:8" ht="12.75" customHeight="1">
      <c r="A74" s="210" t="s">
        <v>90</v>
      </c>
      <c r="B74" s="63"/>
      <c r="C74" s="63"/>
      <c r="D74" s="63"/>
    </row>
    <row r="75" spans="1:8" ht="12.75" customHeight="1">
      <c r="A75" s="210" t="s">
        <v>91</v>
      </c>
      <c r="B75" s="236"/>
      <c r="C75" s="158"/>
      <c r="D75" s="158"/>
    </row>
    <row r="77" spans="1:8">
      <c r="A77" s="368"/>
      <c r="B77" s="369"/>
      <c r="C77" s="252"/>
      <c r="D77" s="252"/>
      <c r="E77" s="252"/>
      <c r="F77" s="252"/>
      <c r="G77" s="252"/>
    </row>
    <row r="78" spans="1:8" ht="70.5" customHeight="1">
      <c r="A78" s="370"/>
      <c r="B78" s="371"/>
      <c r="C78" s="251" t="str">
        <f>C2</f>
        <v>22nd DAA, 
San Diego County Fair</v>
      </c>
      <c r="D78" s="251" t="str">
        <f>D2</f>
        <v>32nd DAA, Orange County Fair</v>
      </c>
      <c r="E78" s="251" t="str">
        <f>E2</f>
        <v>Alameda County Fair</v>
      </c>
      <c r="F78" s="251" t="str">
        <f>F2</f>
        <v>California Exposition and State Fair 
(Cal Expo)</v>
      </c>
      <c r="G78" s="251" t="str">
        <f>G2</f>
        <v>Los Angeles County Fair</v>
      </c>
    </row>
    <row r="79" spans="1:8" ht="13.5" customHeight="1">
      <c r="A79" s="255" t="s">
        <v>92</v>
      </c>
      <c r="B79" s="40"/>
      <c r="C79" s="65"/>
      <c r="D79" s="65"/>
      <c r="E79" s="65"/>
      <c r="F79" s="65"/>
      <c r="G79" s="65"/>
    </row>
    <row r="80" spans="1:8" ht="13.5" customHeight="1">
      <c r="A80" s="255" t="s">
        <v>93</v>
      </c>
      <c r="B80" s="40"/>
      <c r="C80" s="65"/>
      <c r="D80" s="65"/>
      <c r="E80" s="65"/>
      <c r="F80" s="65"/>
      <c r="G80" s="65"/>
    </row>
    <row r="81" spans="1:9" ht="13.5" customHeight="1">
      <c r="A81" s="260"/>
      <c r="B81" s="40" t="s">
        <v>94</v>
      </c>
      <c r="C81" s="41"/>
      <c r="D81" s="41"/>
      <c r="E81" s="41"/>
      <c r="F81" s="41"/>
      <c r="G81" s="41"/>
    </row>
    <row r="82" spans="1:9" ht="13.5" customHeight="1">
      <c r="A82" s="260"/>
      <c r="B82" s="40" t="s">
        <v>95</v>
      </c>
      <c r="C82" s="24">
        <v>3590108</v>
      </c>
      <c r="D82" s="24">
        <v>0</v>
      </c>
      <c r="E82" s="24">
        <v>258571</v>
      </c>
      <c r="F82" s="24">
        <v>225675</v>
      </c>
      <c r="G82" s="24">
        <v>0</v>
      </c>
      <c r="I82" s="67">
        <f t="shared" ref="I82:I92" si="12">SUM(C82:D82)</f>
        <v>3590108</v>
      </c>
    </row>
    <row r="83" spans="1:9" ht="13.5" customHeight="1">
      <c r="A83" s="260"/>
      <c r="B83" s="40" t="s">
        <v>96</v>
      </c>
      <c r="C83" s="41">
        <v>11649948</v>
      </c>
      <c r="D83" s="41">
        <v>38206987</v>
      </c>
      <c r="E83" s="41">
        <v>3773039</v>
      </c>
      <c r="F83" s="41">
        <v>9452018</v>
      </c>
      <c r="G83" s="41">
        <v>10739222.34</v>
      </c>
      <c r="I83" s="67">
        <f t="shared" si="12"/>
        <v>49856935</v>
      </c>
    </row>
    <row r="84" spans="1:9" ht="13.5" customHeight="1">
      <c r="A84" s="260"/>
      <c r="B84" s="40" t="s">
        <v>97</v>
      </c>
      <c r="C84" s="41">
        <v>946921</v>
      </c>
      <c r="D84" s="41">
        <v>311647</v>
      </c>
      <c r="E84" s="41">
        <v>2120093</v>
      </c>
      <c r="F84" s="41">
        <v>1276124</v>
      </c>
      <c r="G84" s="41">
        <v>2082456.62</v>
      </c>
      <c r="I84" s="67">
        <f t="shared" si="12"/>
        <v>1258568</v>
      </c>
    </row>
    <row r="85" spans="1:9" ht="13.5" customHeight="1">
      <c r="A85" s="260"/>
      <c r="B85" s="40" t="s">
        <v>98</v>
      </c>
      <c r="C85" s="41">
        <v>400349</v>
      </c>
      <c r="D85" s="41">
        <v>44858</v>
      </c>
      <c r="E85" s="41">
        <v>136937</v>
      </c>
      <c r="F85" s="41">
        <v>126967</v>
      </c>
      <c r="G85" s="41">
        <v>0</v>
      </c>
      <c r="I85" s="67">
        <f t="shared" si="12"/>
        <v>445207</v>
      </c>
    </row>
    <row r="86" spans="1:9" ht="13.5" customHeight="1">
      <c r="A86" s="260"/>
      <c r="B86" s="40" t="s">
        <v>99</v>
      </c>
      <c r="C86" s="41">
        <v>63243</v>
      </c>
      <c r="D86" s="41">
        <v>0</v>
      </c>
      <c r="E86" s="41">
        <v>0</v>
      </c>
      <c r="F86" s="41">
        <v>0</v>
      </c>
      <c r="G86" s="41">
        <v>3982942.31</v>
      </c>
      <c r="I86" s="67">
        <f t="shared" si="12"/>
        <v>63243</v>
      </c>
    </row>
    <row r="87" spans="1:9" ht="13.5" customHeight="1">
      <c r="A87" s="260"/>
      <c r="B87" s="40" t="s">
        <v>100</v>
      </c>
      <c r="C87" s="41">
        <v>627766</v>
      </c>
      <c r="D87" s="41">
        <v>4045962</v>
      </c>
      <c r="E87" s="41">
        <v>79367</v>
      </c>
      <c r="F87" s="41">
        <v>573257</v>
      </c>
      <c r="G87" s="41">
        <v>0</v>
      </c>
      <c r="I87" s="31">
        <f>SUM(C87:D87)</f>
        <v>4673728</v>
      </c>
    </row>
    <row r="88" spans="1:9" ht="13.5" customHeight="1">
      <c r="A88" s="260"/>
      <c r="B88" s="40" t="s">
        <v>101</v>
      </c>
      <c r="C88" s="41">
        <v>5512697</v>
      </c>
      <c r="D88" s="41">
        <v>133553</v>
      </c>
      <c r="E88" s="41">
        <v>1375291</v>
      </c>
      <c r="F88" s="41">
        <v>1643577</v>
      </c>
      <c r="G88" s="41">
        <v>368808</v>
      </c>
      <c r="I88" s="20">
        <f t="shared" si="12"/>
        <v>5646250</v>
      </c>
    </row>
    <row r="89" spans="1:9" ht="13.5" customHeight="1">
      <c r="A89" s="260"/>
      <c r="B89" s="40" t="s">
        <v>102</v>
      </c>
      <c r="C89" s="41">
        <v>48168359</v>
      </c>
      <c r="D89" s="41">
        <v>87752032</v>
      </c>
      <c r="E89" s="41">
        <v>19221325</v>
      </c>
      <c r="F89" s="41">
        <v>75223864</v>
      </c>
      <c r="G89" s="41">
        <v>164802791.11000001</v>
      </c>
      <c r="I89" s="20">
        <f t="shared" si="12"/>
        <v>135920391</v>
      </c>
    </row>
    <row r="90" spans="1:9" ht="13.5" customHeight="1">
      <c r="A90" s="260"/>
      <c r="B90" s="40" t="s">
        <v>103</v>
      </c>
      <c r="C90" s="41">
        <v>11153423</v>
      </c>
      <c r="D90" s="41">
        <v>7340068</v>
      </c>
      <c r="E90" s="41">
        <v>9198848</v>
      </c>
      <c r="F90" s="41">
        <v>5747276</v>
      </c>
      <c r="G90" s="41">
        <v>26545651</v>
      </c>
      <c r="I90" s="20">
        <f t="shared" si="12"/>
        <v>18493491</v>
      </c>
    </row>
    <row r="91" spans="1:9" ht="13.5" customHeight="1">
      <c r="A91" s="260"/>
      <c r="B91" s="40" t="s">
        <v>104</v>
      </c>
      <c r="C91" s="41">
        <v>6966448</v>
      </c>
      <c r="D91" s="41">
        <v>0</v>
      </c>
      <c r="E91" s="41">
        <v>10726896</v>
      </c>
      <c r="F91" s="41">
        <v>0</v>
      </c>
      <c r="G91" s="41">
        <v>0</v>
      </c>
      <c r="I91" s="20">
        <f t="shared" si="12"/>
        <v>6966448</v>
      </c>
    </row>
    <row r="92" spans="1:9" ht="13.5" customHeight="1">
      <c r="A92" s="260"/>
      <c r="B92" s="40" t="s">
        <v>186</v>
      </c>
      <c r="C92" s="41">
        <v>0</v>
      </c>
      <c r="D92" s="41">
        <v>0</v>
      </c>
      <c r="E92" s="41">
        <v>0</v>
      </c>
      <c r="F92" s="41">
        <v>0</v>
      </c>
      <c r="G92" s="41">
        <v>0</v>
      </c>
      <c r="I92" s="20">
        <f t="shared" si="12"/>
        <v>0</v>
      </c>
    </row>
    <row r="93" spans="1:9" ht="13.5" customHeight="1">
      <c r="A93" s="260"/>
      <c r="B93" s="40" t="s">
        <v>105</v>
      </c>
      <c r="C93" s="41">
        <f>-36614884-8305371-6872582</f>
        <v>-51792837</v>
      </c>
      <c r="D93" s="41">
        <f>-41022542-6695307</f>
        <v>-47717849</v>
      </c>
      <c r="E93" s="41">
        <f>-16514562-6505844-8778461</f>
        <v>-31798867</v>
      </c>
      <c r="F93" s="41">
        <f>-64189851-5049684</f>
        <v>-69239535</v>
      </c>
      <c r="G93" s="41">
        <f>-77722108.5-12671616.02</f>
        <v>-90393724.519999996</v>
      </c>
      <c r="I93" s="31">
        <f>SUM(C87:D93)</f>
        <v>72189622</v>
      </c>
    </row>
    <row r="94" spans="1:9" ht="13.5" customHeight="1">
      <c r="A94" s="260"/>
      <c r="B94" s="40" t="s">
        <v>106</v>
      </c>
      <c r="C94" s="41">
        <v>0</v>
      </c>
      <c r="D94" s="41">
        <v>0</v>
      </c>
      <c r="E94" s="41">
        <v>-1</v>
      </c>
      <c r="F94" s="41">
        <v>0</v>
      </c>
      <c r="G94" s="41">
        <v>0</v>
      </c>
    </row>
    <row r="95" spans="1:9" s="33" customFormat="1" ht="13.5" customHeight="1">
      <c r="A95" s="268" t="s">
        <v>107</v>
      </c>
      <c r="B95" s="34"/>
      <c r="C95" s="35">
        <f>SUM(C81:C94)</f>
        <v>37286425</v>
      </c>
      <c r="D95" s="35">
        <f t="shared" ref="D95:F95" si="13">SUM(D81:D94)</f>
        <v>90117258</v>
      </c>
      <c r="E95" s="35">
        <f t="shared" si="13"/>
        <v>15091499</v>
      </c>
      <c r="F95" s="35">
        <f t="shared" si="13"/>
        <v>25029223</v>
      </c>
      <c r="G95" s="35">
        <f t="shared" ref="G95" si="14">SUM(G81:G94)</f>
        <v>118128146.86000003</v>
      </c>
      <c r="I95" s="20">
        <f t="shared" ref="I95:I96" si="15">SUM(C95:D95)</f>
        <v>127403683</v>
      </c>
    </row>
    <row r="96" spans="1:9" s="33" customFormat="1" ht="13.5" customHeight="1">
      <c r="A96" s="268" t="s">
        <v>215</v>
      </c>
      <c r="B96" s="34"/>
      <c r="C96" s="35">
        <v>1928732</v>
      </c>
      <c r="D96" s="35">
        <v>2061693</v>
      </c>
      <c r="E96" s="35">
        <v>0</v>
      </c>
      <c r="F96" s="35">
        <v>2323148</v>
      </c>
      <c r="G96" s="35">
        <v>0</v>
      </c>
      <c r="I96" s="20">
        <f t="shared" si="15"/>
        <v>3990425</v>
      </c>
    </row>
    <row r="97" spans="1:9" s="56" customFormat="1" ht="13.5" customHeight="1">
      <c r="A97" s="263" t="s">
        <v>212</v>
      </c>
      <c r="B97" s="224"/>
      <c r="C97" s="225">
        <f>+C95+C96</f>
        <v>39215157</v>
      </c>
      <c r="D97" s="225">
        <f t="shared" ref="D97:F97" si="16">+D95+D96</f>
        <v>92178951</v>
      </c>
      <c r="E97" s="225">
        <f t="shared" si="16"/>
        <v>15091499</v>
      </c>
      <c r="F97" s="225">
        <f t="shared" si="16"/>
        <v>27352371</v>
      </c>
      <c r="G97" s="225">
        <f t="shared" ref="G97" si="17">+G95+G96</f>
        <v>118128146.86000003</v>
      </c>
      <c r="I97" s="226">
        <f>SUM(C97:D97)</f>
        <v>131394108</v>
      </c>
    </row>
    <row r="98" spans="1:9" ht="13.5" customHeight="1">
      <c r="A98" s="255" t="s">
        <v>213</v>
      </c>
      <c r="B98" s="40"/>
      <c r="C98" s="64"/>
      <c r="D98" s="65"/>
      <c r="E98" s="65"/>
      <c r="F98" s="65"/>
      <c r="G98" s="65"/>
    </row>
    <row r="99" spans="1:9" ht="13.5" customHeight="1">
      <c r="A99" s="260"/>
      <c r="B99" s="40" t="s">
        <v>108</v>
      </c>
      <c r="C99" s="29">
        <v>0</v>
      </c>
      <c r="D99" s="41">
        <v>0</v>
      </c>
      <c r="E99" s="41">
        <v>10117</v>
      </c>
      <c r="F99" s="41">
        <v>0</v>
      </c>
      <c r="G99" s="65">
        <v>0</v>
      </c>
      <c r="I99" s="67">
        <f t="shared" ref="I99:I119" si="18">SUM(C99:D99)</f>
        <v>0</v>
      </c>
    </row>
    <row r="100" spans="1:9" ht="13.5" customHeight="1">
      <c r="A100" s="260"/>
      <c r="B100" s="40" t="s">
        <v>109</v>
      </c>
      <c r="C100" s="29">
        <v>877798</v>
      </c>
      <c r="D100" s="41">
        <v>1076811</v>
      </c>
      <c r="E100" s="41">
        <v>993328</v>
      </c>
      <c r="F100" s="41">
        <v>1242757</v>
      </c>
      <c r="G100" s="41">
        <v>4526318.63</v>
      </c>
      <c r="I100" s="67">
        <f t="shared" si="18"/>
        <v>1954609</v>
      </c>
    </row>
    <row r="101" spans="1:9" ht="13.5" customHeight="1">
      <c r="A101" s="260"/>
      <c r="B101" s="40" t="s">
        <v>110</v>
      </c>
      <c r="C101" s="29">
        <v>275292</v>
      </c>
      <c r="D101" s="41">
        <v>397168</v>
      </c>
      <c r="E101" s="41">
        <v>84000</v>
      </c>
      <c r="F101" s="41">
        <v>955853</v>
      </c>
      <c r="G101" s="41">
        <v>205500</v>
      </c>
      <c r="I101" s="67">
        <f t="shared" si="18"/>
        <v>672460</v>
      </c>
    </row>
    <row r="102" spans="1:9" ht="13.5" customHeight="1">
      <c r="A102" s="260"/>
      <c r="B102" s="40" t="s">
        <v>111</v>
      </c>
      <c r="C102" s="29">
        <v>711672</v>
      </c>
      <c r="D102" s="41">
        <v>746407</v>
      </c>
      <c r="E102" s="41">
        <v>3957</v>
      </c>
      <c r="F102" s="41">
        <v>190045</v>
      </c>
      <c r="G102" s="41">
        <v>1039526</v>
      </c>
      <c r="I102" s="67">
        <f t="shared" si="18"/>
        <v>1458079</v>
      </c>
    </row>
    <row r="103" spans="1:9" ht="13.5" customHeight="1">
      <c r="A103" s="260"/>
      <c r="B103" s="40" t="s">
        <v>112</v>
      </c>
      <c r="C103" s="29">
        <v>1866315</v>
      </c>
      <c r="D103" s="41">
        <v>436674</v>
      </c>
      <c r="E103" s="41">
        <v>5486</v>
      </c>
      <c r="F103" s="41">
        <v>201288</v>
      </c>
      <c r="G103" s="41">
        <v>7316498</v>
      </c>
      <c r="I103" s="67">
        <f t="shared" si="18"/>
        <v>2302989</v>
      </c>
    </row>
    <row r="104" spans="1:9" ht="13.5" customHeight="1">
      <c r="A104" s="260"/>
      <c r="B104" s="40" t="s">
        <v>113</v>
      </c>
      <c r="C104" s="29">
        <v>0</v>
      </c>
      <c r="D104" s="41">
        <v>5000</v>
      </c>
      <c r="E104" s="41">
        <v>237323</v>
      </c>
      <c r="F104" s="41">
        <v>661568</v>
      </c>
      <c r="G104" s="41">
        <v>0</v>
      </c>
      <c r="I104" s="67">
        <f t="shared" si="18"/>
        <v>5000</v>
      </c>
    </row>
    <row r="105" spans="1:9" ht="13.5" customHeight="1">
      <c r="A105" s="260"/>
      <c r="B105" s="40" t="s">
        <v>114</v>
      </c>
      <c r="C105" s="29">
        <v>2488852</v>
      </c>
      <c r="D105" s="41">
        <v>936362</v>
      </c>
      <c r="E105" s="41">
        <v>325796</v>
      </c>
      <c r="F105" s="41">
        <v>1269904</v>
      </c>
      <c r="G105" s="41">
        <v>530965</v>
      </c>
      <c r="I105" s="67">
        <f t="shared" si="18"/>
        <v>3425214</v>
      </c>
    </row>
    <row r="106" spans="1:9" ht="13.5" customHeight="1">
      <c r="A106" s="260"/>
      <c r="B106" s="40" t="s">
        <v>115</v>
      </c>
      <c r="C106" s="29">
        <v>0</v>
      </c>
      <c r="D106" s="41">
        <v>0</v>
      </c>
      <c r="E106" s="41">
        <v>488506</v>
      </c>
      <c r="F106" s="41">
        <v>9148167</v>
      </c>
      <c r="G106" s="41">
        <v>57781797.920000002</v>
      </c>
      <c r="I106" s="67">
        <f t="shared" si="18"/>
        <v>0</v>
      </c>
    </row>
    <row r="107" spans="1:9" ht="13.5" customHeight="1">
      <c r="A107" s="260"/>
      <c r="B107" s="40" t="s">
        <v>218</v>
      </c>
      <c r="C107" s="29">
        <v>23470069</v>
      </c>
      <c r="D107" s="41">
        <v>14175597</v>
      </c>
      <c r="E107" s="41">
        <v>0</v>
      </c>
      <c r="F107" s="41">
        <v>10580237</v>
      </c>
      <c r="G107" s="41">
        <v>0</v>
      </c>
      <c r="I107" s="67">
        <f t="shared" si="18"/>
        <v>37645666</v>
      </c>
    </row>
    <row r="108" spans="1:9" s="33" customFormat="1" ht="13.5" customHeight="1">
      <c r="A108" s="268" t="s">
        <v>217</v>
      </c>
      <c r="B108" s="34"/>
      <c r="C108" s="35">
        <f>SUM(C99:C107)</f>
        <v>29689998</v>
      </c>
      <c r="D108" s="35">
        <f t="shared" ref="D108:F108" si="19">SUM(D99:D107)</f>
        <v>17774019</v>
      </c>
      <c r="E108" s="35">
        <f t="shared" si="19"/>
        <v>2148513</v>
      </c>
      <c r="F108" s="35">
        <f t="shared" si="19"/>
        <v>24249819</v>
      </c>
      <c r="G108" s="35">
        <f t="shared" ref="G108" si="20">SUM(G99:G107)</f>
        <v>71400605.549999997</v>
      </c>
      <c r="I108" s="226">
        <f t="shared" si="18"/>
        <v>47464017</v>
      </c>
    </row>
    <row r="109" spans="1:9" s="33" customFormat="1" ht="13.5" customHeight="1">
      <c r="A109" s="268" t="s">
        <v>216</v>
      </c>
      <c r="B109" s="34"/>
      <c r="C109" s="35">
        <v>4634892</v>
      </c>
      <c r="D109" s="35">
        <v>437969</v>
      </c>
      <c r="E109" s="35">
        <v>0</v>
      </c>
      <c r="F109" s="35">
        <v>352507</v>
      </c>
      <c r="G109" s="35">
        <v>0</v>
      </c>
      <c r="I109" s="226">
        <f t="shared" si="18"/>
        <v>5072861</v>
      </c>
    </row>
    <row r="110" spans="1:9" s="56" customFormat="1" ht="13.5" customHeight="1">
      <c r="A110" s="263" t="s">
        <v>214</v>
      </c>
      <c r="B110" s="224"/>
      <c r="C110" s="225">
        <f>+C108+C109</f>
        <v>34324890</v>
      </c>
      <c r="D110" s="225">
        <f t="shared" ref="D110:F110" si="21">+D108+D109</f>
        <v>18211988</v>
      </c>
      <c r="E110" s="225">
        <f t="shared" si="21"/>
        <v>2148513</v>
      </c>
      <c r="F110" s="225">
        <f t="shared" si="21"/>
        <v>24602326</v>
      </c>
      <c r="G110" s="225">
        <f t="shared" ref="G110" si="22">+G108+G109</f>
        <v>71400605.549999997</v>
      </c>
      <c r="I110" s="226">
        <f t="shared" si="18"/>
        <v>52536878</v>
      </c>
    </row>
    <row r="111" spans="1:9" ht="13.5" customHeight="1">
      <c r="A111" s="255" t="s">
        <v>116</v>
      </c>
      <c r="B111" s="40"/>
      <c r="C111" s="64"/>
      <c r="D111" s="65"/>
      <c r="E111" s="65"/>
      <c r="F111" s="65"/>
      <c r="G111" s="65"/>
      <c r="I111" s="67">
        <f t="shared" si="18"/>
        <v>0</v>
      </c>
    </row>
    <row r="112" spans="1:9" ht="13.5" customHeight="1">
      <c r="A112" s="260"/>
      <c r="B112" s="40" t="s">
        <v>117</v>
      </c>
      <c r="C112" s="29">
        <v>185579</v>
      </c>
      <c r="D112" s="41">
        <v>13502</v>
      </c>
      <c r="E112" s="41">
        <v>17528</v>
      </c>
      <c r="F112" s="41">
        <v>0</v>
      </c>
      <c r="G112" s="29">
        <v>0</v>
      </c>
      <c r="I112" s="67">
        <f t="shared" si="18"/>
        <v>199081</v>
      </c>
    </row>
    <row r="113" spans="1:9" ht="13.5" customHeight="1">
      <c r="A113" s="260"/>
      <c r="B113" s="40" t="s">
        <v>42</v>
      </c>
      <c r="C113" s="29">
        <f>C60</f>
        <v>10059482</v>
      </c>
      <c r="D113" s="29">
        <f t="shared" ref="D113:F113" si="23">D60</f>
        <v>34951569</v>
      </c>
      <c r="E113" s="29">
        <f t="shared" si="23"/>
        <v>4352536</v>
      </c>
      <c r="F113" s="29">
        <f t="shared" si="23"/>
        <v>-2661064</v>
      </c>
      <c r="G113" s="41">
        <f t="shared" ref="G113" si="24">G60</f>
        <v>4395812</v>
      </c>
      <c r="I113" s="67">
        <f t="shared" si="18"/>
        <v>45011051</v>
      </c>
    </row>
    <row r="114" spans="1:9" ht="13.5" customHeight="1">
      <c r="A114" s="260"/>
      <c r="B114" s="40" t="s">
        <v>220</v>
      </c>
      <c r="C114" s="29">
        <f t="shared" ref="C114:F114" si="25">C61</f>
        <v>-26176229</v>
      </c>
      <c r="D114" s="29">
        <f t="shared" si="25"/>
        <v>-12551873</v>
      </c>
      <c r="E114" s="29">
        <f t="shared" si="25"/>
        <v>0</v>
      </c>
      <c r="F114" s="29">
        <f t="shared" si="25"/>
        <v>-8609596</v>
      </c>
      <c r="G114" s="41">
        <f t="shared" ref="G114" si="26">G61</f>
        <v>0</v>
      </c>
      <c r="I114" s="67">
        <f t="shared" si="18"/>
        <v>-38728102</v>
      </c>
    </row>
    <row r="115" spans="1:9" ht="13.5" customHeight="1">
      <c r="A115" s="260"/>
      <c r="B115" s="40" t="s">
        <v>43</v>
      </c>
      <c r="C115" s="29">
        <f t="shared" ref="C115:F115" si="27">C62</f>
        <v>185579</v>
      </c>
      <c r="D115" s="29">
        <f t="shared" si="27"/>
        <v>0</v>
      </c>
      <c r="E115" s="29">
        <f t="shared" si="27"/>
        <v>258571</v>
      </c>
      <c r="F115" s="29">
        <f t="shared" si="27"/>
        <v>72266</v>
      </c>
      <c r="G115" s="41">
        <f t="shared" ref="G115" si="28">G62</f>
        <v>0</v>
      </c>
      <c r="I115" s="67">
        <f t="shared" si="18"/>
        <v>185579</v>
      </c>
    </row>
    <row r="116" spans="1:9" ht="13.5" customHeight="1">
      <c r="A116" s="260"/>
      <c r="B116" s="40" t="s">
        <v>118</v>
      </c>
      <c r="C116" s="29">
        <f t="shared" ref="C116:F116" si="29">C63</f>
        <v>20635856</v>
      </c>
      <c r="D116" s="29">
        <f t="shared" si="29"/>
        <v>51553765</v>
      </c>
      <c r="E116" s="29">
        <f t="shared" si="29"/>
        <v>8314352</v>
      </c>
      <c r="F116" s="29">
        <f t="shared" si="29"/>
        <v>13948439</v>
      </c>
      <c r="G116" s="41">
        <f t="shared" ref="G116" si="30">G63</f>
        <v>42331729</v>
      </c>
      <c r="I116" s="67">
        <f t="shared" si="18"/>
        <v>72189621</v>
      </c>
    </row>
    <row r="117" spans="1:9" ht="13.5" customHeight="1">
      <c r="A117" s="269"/>
      <c r="B117" s="71" t="s">
        <v>106</v>
      </c>
      <c r="C117" s="72">
        <v>0</v>
      </c>
      <c r="D117" s="73">
        <v>0</v>
      </c>
      <c r="E117" s="73">
        <v>-1</v>
      </c>
      <c r="F117" s="73">
        <v>0</v>
      </c>
      <c r="G117" s="73">
        <v>0</v>
      </c>
      <c r="I117" s="67">
        <f t="shared" si="18"/>
        <v>0</v>
      </c>
    </row>
    <row r="118" spans="1:9" s="33" customFormat="1" ht="13.5" customHeight="1">
      <c r="A118" s="268" t="s">
        <v>46</v>
      </c>
      <c r="B118" s="75"/>
      <c r="C118" s="76">
        <f t="shared" ref="C118" si="31">SUM(C112:C117)</f>
        <v>4890267</v>
      </c>
      <c r="D118" s="76">
        <f t="shared" ref="D118:F118" si="32">SUM(D112:D117)</f>
        <v>73966963</v>
      </c>
      <c r="E118" s="76">
        <f t="shared" si="32"/>
        <v>12942986</v>
      </c>
      <c r="F118" s="76">
        <f t="shared" si="32"/>
        <v>2750045</v>
      </c>
      <c r="G118" s="76">
        <f t="shared" ref="G118" si="33">SUM(G112:G117)</f>
        <v>46727541</v>
      </c>
      <c r="I118" s="69">
        <f t="shared" si="18"/>
        <v>78857230</v>
      </c>
    </row>
    <row r="119" spans="1:9" s="56" customFormat="1" ht="13.5" customHeight="1">
      <c r="A119" s="263" t="s">
        <v>219</v>
      </c>
      <c r="B119" s="224"/>
      <c r="C119" s="225">
        <f t="shared" ref="C119" si="34">SUM(C110:C117)</f>
        <v>39215157</v>
      </c>
      <c r="D119" s="225">
        <f t="shared" ref="D119:F119" si="35">SUM(D110:D117)</f>
        <v>92178951</v>
      </c>
      <c r="E119" s="225">
        <f t="shared" si="35"/>
        <v>15091499</v>
      </c>
      <c r="F119" s="225">
        <f t="shared" si="35"/>
        <v>27352371</v>
      </c>
      <c r="G119" s="225">
        <f t="shared" ref="G119" si="36">SUM(G110:G117)</f>
        <v>118128146.55</v>
      </c>
      <c r="I119" s="226">
        <f t="shared" si="18"/>
        <v>131394108</v>
      </c>
    </row>
    <row r="120" spans="1:9" hidden="1">
      <c r="A120" s="79"/>
      <c r="B120" s="70" t="s">
        <v>88</v>
      </c>
      <c r="C120" s="119">
        <f>+C97-C119</f>
        <v>0</v>
      </c>
      <c r="D120" s="119">
        <f>+D97-D119</f>
        <v>0</v>
      </c>
      <c r="E120" s="119">
        <f>+E97-E119</f>
        <v>0</v>
      </c>
      <c r="F120" s="119">
        <f>+F97-F119</f>
        <v>0</v>
      </c>
      <c r="G120" s="94">
        <f>+G97-G119</f>
        <v>0.31000003218650818</v>
      </c>
      <c r="H120" s="70"/>
    </row>
    <row r="121" spans="1:9" ht="13.5" customHeight="1">
      <c r="A121" s="70"/>
      <c r="B121" s="101"/>
      <c r="C121" s="103"/>
      <c r="D121" s="103"/>
      <c r="E121" s="103"/>
      <c r="F121" s="103"/>
      <c r="G121" s="103"/>
    </row>
    <row r="122" spans="1:9" ht="39.75" customHeight="1">
      <c r="A122" s="360" t="s">
        <v>119</v>
      </c>
      <c r="B122" s="361"/>
      <c r="C122" s="354">
        <f>C55/(C31)</f>
        <v>0.10008705378391181</v>
      </c>
      <c r="D122" s="354">
        <f>D55/(D31)</f>
        <v>0.27258427703634525</v>
      </c>
      <c r="E122" s="354">
        <f>E55/(E31)</f>
        <v>5.1383479402094159E-2</v>
      </c>
      <c r="F122" s="354">
        <f>F55/(F31)</f>
        <v>8.5715168163376081E-3</v>
      </c>
      <c r="G122" s="354">
        <f>G55/(G31)</f>
        <v>8.1185292128681613E-2</v>
      </c>
    </row>
    <row r="123" spans="1:9" ht="24">
      <c r="A123" s="257"/>
      <c r="B123" s="299" t="s">
        <v>120</v>
      </c>
      <c r="C123" s="354"/>
      <c r="D123" s="354"/>
      <c r="E123" s="354"/>
      <c r="F123" s="354"/>
      <c r="G123" s="354"/>
    </row>
    <row r="124" spans="1:9" ht="14.25">
      <c r="A124" s="300" t="s">
        <v>194</v>
      </c>
      <c r="B124" s="301"/>
      <c r="C124" s="351">
        <f>(SUM(C83:C84))/SUM(C99:C104)</f>
        <v>3.3762018312674864</v>
      </c>
      <c r="D124" s="351">
        <f>(SUM(D83:D84))/SUM(D99:D104)</f>
        <v>14.469483783235539</v>
      </c>
      <c r="E124" s="351">
        <f>(SUM(E83:E84))/SUM(E99:E104)</f>
        <v>4.4169415482258803</v>
      </c>
      <c r="F124" s="351">
        <f>(SUM(F83:F84))/SUM(F99:F104)</f>
        <v>3.2994327867874351</v>
      </c>
      <c r="G124" s="351">
        <f>(SUM(G83:G84))/SUM(G99:G104)</f>
        <v>0.97966328924295765</v>
      </c>
    </row>
    <row r="125" spans="1:9" ht="36">
      <c r="A125" s="302"/>
      <c r="B125" s="303" t="s">
        <v>195</v>
      </c>
      <c r="C125" s="352"/>
      <c r="D125" s="352"/>
      <c r="E125" s="352"/>
      <c r="F125" s="352"/>
      <c r="G125" s="352"/>
    </row>
    <row r="126" spans="1:9" ht="14.25">
      <c r="A126" s="300" t="s">
        <v>196</v>
      </c>
      <c r="B126" s="301"/>
      <c r="C126" s="351">
        <f>(SUM(C83:C84))/SUM(C99:C105)</f>
        <v>2.0252432141910304</v>
      </c>
      <c r="D126" s="351">
        <f>(SUM(D83:D84))/SUM(D99:D105)</f>
        <v>10.704312612584072</v>
      </c>
      <c r="E126" s="351">
        <f>(SUM(E83:E84))/SUM(E99:E105)</f>
        <v>3.5500645479205812</v>
      </c>
      <c r="F126" s="351">
        <f>(SUM(F83:F84))/SUM(F99:F105)</f>
        <v>2.3727399497723609</v>
      </c>
      <c r="G126" s="351">
        <f>(SUM(G83:G84))/SUM(G99:G105)</f>
        <v>0.94146854176542927</v>
      </c>
    </row>
    <row r="127" spans="1:9" ht="24">
      <c r="A127" s="302"/>
      <c r="B127" s="303" t="s">
        <v>197</v>
      </c>
      <c r="C127" s="352"/>
      <c r="D127" s="352"/>
      <c r="E127" s="352"/>
      <c r="F127" s="352"/>
      <c r="G127" s="352"/>
    </row>
    <row r="128" spans="1:9" s="173" customFormat="1" ht="8.1" customHeight="1">
      <c r="A128" s="174"/>
      <c r="B128" s="175"/>
      <c r="C128" s="176"/>
      <c r="D128" s="176"/>
      <c r="E128" s="176"/>
      <c r="F128" s="176"/>
      <c r="G128" s="177"/>
    </row>
    <row r="129" spans="1:8" ht="13.5" customHeight="1">
      <c r="A129" s="304" t="s">
        <v>121</v>
      </c>
      <c r="B129" s="75"/>
      <c r="C129" s="353">
        <f>C110/C97</f>
        <v>0.87529650843932616</v>
      </c>
      <c r="D129" s="353">
        <f>D110/D97</f>
        <v>0.19757208996661288</v>
      </c>
      <c r="E129" s="353">
        <f>E110/E97</f>
        <v>0.14236577824376492</v>
      </c>
      <c r="F129" s="353">
        <f>F110/F97</f>
        <v>0.89945862462892157</v>
      </c>
      <c r="G129" s="353">
        <f>G110/G97</f>
        <v>0.60443346863487724</v>
      </c>
    </row>
    <row r="130" spans="1:8" ht="25.5">
      <c r="A130" s="257"/>
      <c r="B130" s="305" t="s">
        <v>122</v>
      </c>
      <c r="C130" s="353"/>
      <c r="D130" s="353"/>
      <c r="E130" s="353"/>
      <c r="F130" s="353"/>
      <c r="G130" s="353"/>
    </row>
    <row r="131" spans="1:8" ht="13.5" customHeight="1">
      <c r="A131" s="304" t="s">
        <v>123</v>
      </c>
      <c r="B131" s="306"/>
      <c r="C131" s="353">
        <f>C118/C97</f>
        <v>0.12470349156067385</v>
      </c>
      <c r="D131" s="353">
        <f>D118/D97</f>
        <v>0.80242791003338709</v>
      </c>
      <c r="E131" s="353">
        <f>E118/E97</f>
        <v>0.85763422175623505</v>
      </c>
      <c r="F131" s="353">
        <f>F118/F97</f>
        <v>0.10054137537107843</v>
      </c>
      <c r="G131" s="353">
        <f>G118/G97</f>
        <v>0.3955665287408538</v>
      </c>
    </row>
    <row r="132" spans="1:8" ht="24">
      <c r="A132" s="257"/>
      <c r="B132" s="299" t="s">
        <v>124</v>
      </c>
      <c r="C132" s="353"/>
      <c r="D132" s="353"/>
      <c r="E132" s="353"/>
      <c r="F132" s="353"/>
      <c r="G132" s="353"/>
    </row>
    <row r="133" spans="1:8" ht="13.5" customHeight="1">
      <c r="A133" s="362" t="s">
        <v>125</v>
      </c>
      <c r="B133" s="363"/>
      <c r="C133" s="353">
        <f>C110/C118</f>
        <v>7.019021660780485</v>
      </c>
      <c r="D133" s="353">
        <f>D110/D118</f>
        <v>0.24621786891534264</v>
      </c>
      <c r="E133" s="353">
        <f>E110/E118</f>
        <v>0.16599824800861254</v>
      </c>
      <c r="F133" s="353">
        <f>F110/F118</f>
        <v>8.9461539720259129</v>
      </c>
      <c r="G133" s="353">
        <f>G110/G118</f>
        <v>1.5280197507076179</v>
      </c>
    </row>
    <row r="134" spans="1:8">
      <c r="A134" s="257"/>
      <c r="B134" s="299" t="s">
        <v>126</v>
      </c>
      <c r="C134" s="353"/>
      <c r="D134" s="353"/>
      <c r="E134" s="353"/>
      <c r="F134" s="353"/>
      <c r="G134" s="353"/>
    </row>
    <row r="135" spans="1:8" s="173" customFormat="1" ht="8.1" customHeight="1">
      <c r="A135" s="178"/>
      <c r="B135" s="179"/>
      <c r="C135" s="191"/>
      <c r="D135" s="191"/>
      <c r="E135" s="191"/>
      <c r="F135" s="191"/>
      <c r="G135" s="185"/>
    </row>
    <row r="136" spans="1:8">
      <c r="A136" s="268" t="s">
        <v>127</v>
      </c>
      <c r="B136" s="34"/>
      <c r="C136" s="81">
        <v>165</v>
      </c>
      <c r="D136" s="81">
        <v>95</v>
      </c>
      <c r="E136" s="81">
        <v>115</v>
      </c>
      <c r="F136" s="81">
        <f>72+117</f>
        <v>189</v>
      </c>
      <c r="G136" s="128">
        <f>112+699+466</f>
        <v>1277</v>
      </c>
      <c r="H136" s="155">
        <f>AVERAGE(C136:G136)</f>
        <v>368.2</v>
      </c>
    </row>
    <row r="137" spans="1:8" s="173" customFormat="1" ht="8.1" customHeight="1">
      <c r="A137" s="184"/>
      <c r="B137" s="179"/>
      <c r="C137" s="192"/>
      <c r="D137" s="192"/>
      <c r="E137" s="192"/>
      <c r="F137" s="192"/>
      <c r="G137" s="194"/>
    </row>
    <row r="138" spans="1:8">
      <c r="A138" s="307" t="s">
        <v>128</v>
      </c>
      <c r="B138" s="307"/>
      <c r="C138" s="186">
        <v>778022</v>
      </c>
      <c r="D138" s="186">
        <v>1095786</v>
      </c>
      <c r="E138" s="186">
        <v>317253</v>
      </c>
      <c r="F138" s="81">
        <v>511553</v>
      </c>
      <c r="G138" s="195">
        <v>729902</v>
      </c>
      <c r="H138" s="91">
        <f>AVERAGE(C138:G138)</f>
        <v>686503.2</v>
      </c>
    </row>
    <row r="139" spans="1:8">
      <c r="A139" s="307" t="s">
        <v>129</v>
      </c>
      <c r="B139" s="307"/>
      <c r="C139" s="186">
        <v>85352</v>
      </c>
      <c r="D139" s="186">
        <v>297180</v>
      </c>
      <c r="E139" s="186">
        <v>101770</v>
      </c>
      <c r="F139" s="81">
        <v>162013</v>
      </c>
      <c r="G139" s="195">
        <v>587468</v>
      </c>
      <c r="H139" s="91">
        <f>AVERAGE(C139:G139)</f>
        <v>246756.6</v>
      </c>
    </row>
    <row r="140" spans="1:8">
      <c r="A140" s="307" t="s">
        <v>130</v>
      </c>
      <c r="B140" s="307"/>
      <c r="C140" s="195">
        <v>863374</v>
      </c>
      <c r="D140" s="195">
        <v>1392966</v>
      </c>
      <c r="E140" s="195">
        <v>419023</v>
      </c>
      <c r="F140" s="128">
        <v>673566</v>
      </c>
      <c r="G140" s="195">
        <v>1317370</v>
      </c>
      <c r="H140" s="91">
        <f>AVERAGE(C140:G140)</f>
        <v>933259.8</v>
      </c>
    </row>
    <row r="141" spans="1:8">
      <c r="A141" s="20" t="s">
        <v>182</v>
      </c>
      <c r="C141" s="106"/>
      <c r="D141" s="106"/>
      <c r="E141" s="106"/>
      <c r="F141" s="107"/>
      <c r="H141" s="91"/>
    </row>
    <row r="143" spans="1:8" s="60" customFormat="1">
      <c r="A143" s="221"/>
      <c r="B143" s="63"/>
    </row>
    <row r="144" spans="1:8" s="60" customFormat="1">
      <c r="A144" s="221"/>
      <c r="B144" s="63"/>
    </row>
  </sheetData>
  <mergeCells count="39">
    <mergeCell ref="F2:F3"/>
    <mergeCell ref="G2:G3"/>
    <mergeCell ref="A133:B133"/>
    <mergeCell ref="A1:B3"/>
    <mergeCell ref="C2:C3"/>
    <mergeCell ref="D2:D3"/>
    <mergeCell ref="E2:E3"/>
    <mergeCell ref="A122:B122"/>
    <mergeCell ref="A77:B78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F122:F123"/>
    <mergeCell ref="G122:G123"/>
    <mergeCell ref="D124:D125"/>
    <mergeCell ref="E124:E125"/>
    <mergeCell ref="F124:F125"/>
    <mergeCell ref="G124:G125"/>
    <mergeCell ref="D126:D127"/>
    <mergeCell ref="E126:E127"/>
    <mergeCell ref="F126:F127"/>
    <mergeCell ref="G126:G127"/>
    <mergeCell ref="D129:D130"/>
    <mergeCell ref="E129:E130"/>
    <mergeCell ref="F129:F130"/>
    <mergeCell ref="G129:G130"/>
    <mergeCell ref="D131:D132"/>
    <mergeCell ref="E131:E132"/>
    <mergeCell ref="F131:F132"/>
    <mergeCell ref="G131:G132"/>
    <mergeCell ref="D133:D134"/>
    <mergeCell ref="E133:E134"/>
    <mergeCell ref="F133:F134"/>
    <mergeCell ref="G133:G134"/>
  </mergeCells>
  <conditionalFormatting sqref="C122:F123">
    <cfRule type="cellIs" dxfId="3" priority="8" operator="lessThan">
      <formula>0</formula>
    </cfRule>
  </conditionalFormatting>
  <conditionalFormatting sqref="C65:F65">
    <cfRule type="cellIs" dxfId="2" priority="7" operator="lessThan">
      <formula>0</formula>
    </cfRule>
  </conditionalFormatting>
  <conditionalFormatting sqref="G122:G123">
    <cfRule type="cellIs" dxfId="1" priority="2" operator="lessThan">
      <formula>0</formula>
    </cfRule>
  </conditionalFormatting>
  <conditionalFormatting sqref="G65">
    <cfRule type="cellIs" dxfId="0" priority="1" operator="lessThan">
      <formula>0</formula>
    </cfRule>
  </conditionalFormatting>
  <printOptions horizontalCentered="1"/>
  <pageMargins left="0.5" right="0.5" top="0.75" bottom="0.35" header="0.5" footer="0.15"/>
  <pageSetup scale="66" fitToHeight="2" orientation="portrait" r:id="rId1"/>
  <headerFooter alignWithMargins="0">
    <oddHeader>&amp;C&amp;"Arial,Bold"&amp;14CLASS VII FAIRS</oddHeader>
    <oddFooter xml:space="preserve">&amp;CFairs and Expositions&amp;R
</oddFooter>
  </headerFooter>
  <rowBreaks count="1" manualBreakCount="1">
    <brk id="76" max="6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151"/>
  <sheetViews>
    <sheetView view="pageBreakPreview" zoomScale="85" zoomScaleNormal="100" zoomScaleSheetLayoutView="85" workbookViewId="0">
      <selection activeCell="C4" sqref="C4"/>
    </sheetView>
  </sheetViews>
  <sheetFormatPr defaultRowHeight="12.75"/>
  <cols>
    <col min="1" max="1" width="4.7109375" style="20" customWidth="1"/>
    <col min="2" max="2" width="56.42578125" style="20" customWidth="1"/>
    <col min="3" max="3" width="12.7109375" style="84" customWidth="1"/>
    <col min="4" max="7" width="12.7109375" style="20" customWidth="1"/>
    <col min="8" max="8" width="12.7109375" style="60" customWidth="1"/>
    <col min="9" max="9" width="12.7109375" style="20" customWidth="1"/>
    <col min="10" max="13" width="12.7109375" style="60" customWidth="1"/>
    <col min="14" max="14" width="12.7109375" style="20" customWidth="1"/>
    <col min="15" max="15" width="13.42578125" style="20" bestFit="1" customWidth="1"/>
    <col min="16" max="16" width="2.140625" style="20" customWidth="1"/>
    <col min="17" max="17" width="12" style="20" customWidth="1"/>
    <col min="18" max="16384" width="9.140625" style="20"/>
  </cols>
  <sheetData>
    <row r="1" spans="1:17" ht="12" customHeight="1">
      <c r="A1" s="356"/>
      <c r="B1" s="364"/>
      <c r="C1" s="252"/>
      <c r="D1" s="252"/>
      <c r="E1" s="252"/>
      <c r="F1" s="252"/>
      <c r="G1" s="252"/>
      <c r="H1" s="252"/>
      <c r="I1" s="252"/>
      <c r="J1" s="253"/>
      <c r="K1" s="253"/>
      <c r="L1" s="252"/>
      <c r="M1" s="252"/>
      <c r="N1" s="252"/>
    </row>
    <row r="2" spans="1:17" ht="12" customHeight="1">
      <c r="A2" s="365"/>
      <c r="B2" s="366"/>
      <c r="C2" s="367" t="s">
        <v>30</v>
      </c>
      <c r="D2" s="367" t="s">
        <v>31</v>
      </c>
      <c r="E2" s="367" t="s">
        <v>32</v>
      </c>
      <c r="F2" s="367" t="s">
        <v>33</v>
      </c>
      <c r="G2" s="367" t="s">
        <v>34</v>
      </c>
      <c r="H2" s="367" t="s">
        <v>35</v>
      </c>
      <c r="I2" s="367" t="s">
        <v>36</v>
      </c>
      <c r="J2" s="367" t="s">
        <v>203</v>
      </c>
      <c r="K2" s="367" t="s">
        <v>37</v>
      </c>
      <c r="L2" s="367" t="s">
        <v>38</v>
      </c>
      <c r="M2" s="367" t="s">
        <v>222</v>
      </c>
      <c r="N2" s="367" t="s">
        <v>39</v>
      </c>
    </row>
    <row r="3" spans="1:17" ht="69" customHeight="1">
      <c r="A3" s="365"/>
      <c r="B3" s="366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21" t="s">
        <v>40</v>
      </c>
      <c r="Q3" s="20" t="s">
        <v>41</v>
      </c>
    </row>
    <row r="4" spans="1:17" ht="12.95" customHeight="1">
      <c r="A4" s="312" t="s">
        <v>205</v>
      </c>
      <c r="B4" s="312"/>
      <c r="C4" s="23"/>
      <c r="D4" s="24"/>
      <c r="E4" s="24"/>
      <c r="F4" s="24"/>
      <c r="G4" s="24"/>
      <c r="H4" s="25"/>
      <c r="I4" s="24"/>
      <c r="J4" s="25"/>
      <c r="K4" s="25"/>
      <c r="L4" s="25"/>
      <c r="M4" s="25"/>
      <c r="N4" s="24"/>
    </row>
    <row r="5" spans="1:17" ht="12.95" customHeight="1">
      <c r="A5" s="255"/>
      <c r="B5" s="36" t="s">
        <v>42</v>
      </c>
      <c r="C5" s="249">
        <v>81880</v>
      </c>
      <c r="D5" s="249">
        <v>217615</v>
      </c>
      <c r="E5" s="249">
        <v>-20930</v>
      </c>
      <c r="F5" s="249">
        <v>-751898</v>
      </c>
      <c r="G5" s="249">
        <v>-278794</v>
      </c>
      <c r="H5" s="249">
        <v>112612</v>
      </c>
      <c r="I5" s="249">
        <v>-20027</v>
      </c>
      <c r="J5" s="249">
        <v>39576</v>
      </c>
      <c r="K5" s="249">
        <v>185929</v>
      </c>
      <c r="L5" s="249">
        <v>650877</v>
      </c>
      <c r="M5" s="249">
        <v>357556</v>
      </c>
      <c r="N5" s="249">
        <v>441098.8</v>
      </c>
    </row>
    <row r="6" spans="1:17" ht="12.95" customHeight="1">
      <c r="A6" s="255"/>
      <c r="B6" s="28" t="s">
        <v>43</v>
      </c>
      <c r="C6" s="26">
        <v>0</v>
      </c>
      <c r="D6" s="27">
        <v>0</v>
      </c>
      <c r="E6" s="27">
        <v>0</v>
      </c>
      <c r="F6" s="27">
        <v>2971485</v>
      </c>
      <c r="G6" s="27">
        <v>3000000</v>
      </c>
      <c r="H6" s="27">
        <v>0</v>
      </c>
      <c r="I6" s="27">
        <v>0</v>
      </c>
      <c r="J6" s="27"/>
      <c r="K6" s="27">
        <v>0</v>
      </c>
      <c r="L6" s="27">
        <v>0</v>
      </c>
      <c r="M6" s="27">
        <v>0</v>
      </c>
      <c r="N6" s="41">
        <v>0</v>
      </c>
    </row>
    <row r="7" spans="1:17" ht="12.95" customHeight="1">
      <c r="A7" s="255"/>
      <c r="B7" s="22" t="s">
        <v>44</v>
      </c>
      <c r="C7" s="26">
        <v>839392</v>
      </c>
      <c r="D7" s="27">
        <v>1516993</v>
      </c>
      <c r="E7" s="27">
        <v>518040</v>
      </c>
      <c r="F7" s="27">
        <v>274517</v>
      </c>
      <c r="G7" s="27">
        <v>0</v>
      </c>
      <c r="H7" s="27">
        <v>9078</v>
      </c>
      <c r="I7" s="27">
        <v>1091613</v>
      </c>
      <c r="J7" s="27">
        <v>429482</v>
      </c>
      <c r="K7" s="27">
        <v>2469734</v>
      </c>
      <c r="L7" s="27">
        <v>717375</v>
      </c>
      <c r="M7" s="27">
        <v>124976</v>
      </c>
      <c r="N7" s="27">
        <v>911236.55</v>
      </c>
    </row>
    <row r="8" spans="1:17" ht="12.95" customHeight="1">
      <c r="A8" s="255"/>
      <c r="B8" s="22" t="s">
        <v>45</v>
      </c>
      <c r="C8" s="29">
        <f>17068-8222</f>
        <v>8846</v>
      </c>
      <c r="D8" s="30">
        <v>0</v>
      </c>
      <c r="E8" s="30">
        <v>6287</v>
      </c>
      <c r="F8" s="30"/>
      <c r="G8" s="30">
        <v>0</v>
      </c>
      <c r="H8" s="30">
        <v>0</v>
      </c>
      <c r="I8" s="30">
        <v>0</v>
      </c>
      <c r="J8" s="30">
        <v>-34817.53</v>
      </c>
      <c r="K8" s="30">
        <v>0</v>
      </c>
      <c r="L8" s="30">
        <v>0</v>
      </c>
      <c r="M8" s="30">
        <v>-57991</v>
      </c>
      <c r="N8" s="30">
        <v>11034</v>
      </c>
      <c r="Q8" s="31">
        <f>SUM(C8:J8)</f>
        <v>-19684.53</v>
      </c>
    </row>
    <row r="9" spans="1:17" s="33" customFormat="1" ht="12.95" customHeight="1" thickBot="1">
      <c r="A9" s="256"/>
      <c r="B9" s="115" t="s">
        <v>46</v>
      </c>
      <c r="C9" s="78">
        <f>SUM(C5:C8)</f>
        <v>930118</v>
      </c>
      <c r="D9" s="78">
        <f t="shared" ref="D9:N9" si="0">SUM(D5:D8)</f>
        <v>1734608</v>
      </c>
      <c r="E9" s="78">
        <f t="shared" si="0"/>
        <v>503397</v>
      </c>
      <c r="F9" s="78">
        <f t="shared" si="0"/>
        <v>2494104</v>
      </c>
      <c r="G9" s="78">
        <f t="shared" si="0"/>
        <v>2721206</v>
      </c>
      <c r="H9" s="78">
        <f>SUM(H5:H8)</f>
        <v>121690</v>
      </c>
      <c r="I9" s="78">
        <f t="shared" si="0"/>
        <v>1071586</v>
      </c>
      <c r="J9" s="78">
        <f t="shared" ref="J9" si="1">SUM(J5:J8)</f>
        <v>434240.47</v>
      </c>
      <c r="K9" s="78">
        <f t="shared" si="0"/>
        <v>2655663</v>
      </c>
      <c r="L9" s="78">
        <f t="shared" si="0"/>
        <v>1368252</v>
      </c>
      <c r="M9" s="78">
        <f>SUM(M5:M8)</f>
        <v>424541</v>
      </c>
      <c r="N9" s="78">
        <f t="shared" si="0"/>
        <v>1363369.35</v>
      </c>
      <c r="Q9" s="31">
        <f>SUM(C9:J9)</f>
        <v>10010949.470000001</v>
      </c>
    </row>
    <row r="10" spans="1:17" s="33" customFormat="1" ht="12.95" customHeight="1">
      <c r="A10" s="257" t="s">
        <v>47</v>
      </c>
      <c r="B10" s="47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7" s="33" customFormat="1" ht="12.95" customHeight="1">
      <c r="A11" s="258"/>
      <c r="B11" s="34" t="s">
        <v>48</v>
      </c>
      <c r="C11" s="35">
        <v>50920</v>
      </c>
      <c r="D11" s="35">
        <v>50920</v>
      </c>
      <c r="E11" s="35">
        <v>148422</v>
      </c>
      <c r="F11" s="35">
        <v>42009</v>
      </c>
      <c r="G11" s="35">
        <v>50411</v>
      </c>
      <c r="H11" s="35">
        <v>0</v>
      </c>
      <c r="I11" s="35">
        <v>50920</v>
      </c>
      <c r="J11" s="35">
        <v>50920</v>
      </c>
      <c r="K11" s="35">
        <v>53271</v>
      </c>
      <c r="L11" s="35">
        <v>50920</v>
      </c>
      <c r="M11" s="35">
        <v>50920</v>
      </c>
      <c r="N11" s="35">
        <v>50920</v>
      </c>
      <c r="Q11" s="31">
        <f>SUM(C11:J11)</f>
        <v>444522</v>
      </c>
    </row>
    <row r="12" spans="1:17" s="33" customFormat="1" ht="12.95" customHeight="1">
      <c r="A12" s="258"/>
      <c r="B12" s="34" t="s">
        <v>49</v>
      </c>
      <c r="C12" s="35">
        <v>0</v>
      </c>
      <c r="D12" s="35">
        <v>86114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35">
        <v>3225</v>
      </c>
      <c r="M12" s="35">
        <v>0</v>
      </c>
      <c r="N12" s="35">
        <v>0</v>
      </c>
      <c r="Q12" s="31">
        <f>SUM(C12:J12)</f>
        <v>86114</v>
      </c>
    </row>
    <row r="13" spans="1:17" s="33" customFormat="1" ht="12.95" customHeight="1" thickBot="1">
      <c r="A13" s="259"/>
      <c r="B13" s="43" t="s">
        <v>50</v>
      </c>
      <c r="C13" s="44">
        <v>3225</v>
      </c>
      <c r="D13" s="44">
        <f>3225+4378</f>
        <v>7603</v>
      </c>
      <c r="E13" s="44">
        <v>0</v>
      </c>
      <c r="F13" s="44">
        <v>1494</v>
      </c>
      <c r="G13" s="44">
        <v>0</v>
      </c>
      <c r="H13" s="44">
        <v>0</v>
      </c>
      <c r="I13" s="44">
        <v>3225</v>
      </c>
      <c r="J13" s="44">
        <v>0</v>
      </c>
      <c r="K13" s="44">
        <v>0</v>
      </c>
      <c r="L13" s="44"/>
      <c r="M13" s="44">
        <v>3225</v>
      </c>
      <c r="N13" s="44">
        <f>1018+25000</f>
        <v>26018</v>
      </c>
      <c r="Q13" s="31">
        <f>SUM(C13:J13)</f>
        <v>15547</v>
      </c>
    </row>
    <row r="14" spans="1:17" ht="12.95" customHeight="1">
      <c r="A14" s="254" t="s">
        <v>51</v>
      </c>
      <c r="B14" s="36"/>
      <c r="C14" s="37"/>
      <c r="D14" s="38"/>
      <c r="E14" s="38"/>
      <c r="F14" s="38"/>
      <c r="G14" s="38"/>
      <c r="H14" s="39"/>
      <c r="I14" s="38"/>
      <c r="J14" s="39"/>
      <c r="K14" s="39"/>
      <c r="L14" s="39"/>
      <c r="M14" s="39"/>
      <c r="N14" s="38"/>
    </row>
    <row r="15" spans="1:17" ht="12.95" customHeight="1">
      <c r="A15" s="260"/>
      <c r="B15" s="40" t="s">
        <v>52</v>
      </c>
      <c r="C15" s="29">
        <v>0</v>
      </c>
      <c r="D15" s="41">
        <v>76109</v>
      </c>
      <c r="E15" s="41">
        <v>0</v>
      </c>
      <c r="F15" s="41">
        <v>0</v>
      </c>
      <c r="G15" s="41">
        <v>0</v>
      </c>
      <c r="H15" s="30">
        <v>155240</v>
      </c>
      <c r="I15" s="41">
        <v>47779</v>
      </c>
      <c r="J15" s="30">
        <v>62199</v>
      </c>
      <c r="K15" s="30">
        <v>77178</v>
      </c>
      <c r="L15" s="30">
        <v>93651</v>
      </c>
      <c r="M15" s="30">
        <v>61036</v>
      </c>
      <c r="N15" s="41">
        <v>23746</v>
      </c>
    </row>
    <row r="16" spans="1:17" ht="12.95" customHeight="1">
      <c r="A16" s="260"/>
      <c r="B16" s="40" t="s">
        <v>53</v>
      </c>
      <c r="C16" s="29">
        <v>24380</v>
      </c>
      <c r="D16" s="41">
        <v>16085</v>
      </c>
      <c r="E16" s="41">
        <v>0</v>
      </c>
      <c r="F16" s="41">
        <v>0</v>
      </c>
      <c r="G16" s="41">
        <v>0</v>
      </c>
      <c r="H16" s="30">
        <v>99998</v>
      </c>
      <c r="I16" s="41">
        <v>15300</v>
      </c>
      <c r="J16" s="30">
        <v>8601.27</v>
      </c>
      <c r="K16" s="30">
        <v>11890</v>
      </c>
      <c r="L16" s="30">
        <v>12945</v>
      </c>
      <c r="M16" s="30">
        <v>9870</v>
      </c>
      <c r="N16" s="41">
        <v>7350</v>
      </c>
    </row>
    <row r="17" spans="1:19" ht="12.95" customHeight="1">
      <c r="A17" s="260"/>
      <c r="B17" s="40" t="s">
        <v>54</v>
      </c>
      <c r="C17" s="29">
        <v>89784</v>
      </c>
      <c r="D17" s="41">
        <v>0</v>
      </c>
      <c r="E17" s="41">
        <v>0</v>
      </c>
      <c r="F17" s="41">
        <v>0</v>
      </c>
      <c r="G17" s="41">
        <v>0</v>
      </c>
      <c r="H17" s="30">
        <v>90944</v>
      </c>
      <c r="I17" s="41">
        <v>41788</v>
      </c>
      <c r="J17" s="30">
        <v>37528.050000000003</v>
      </c>
      <c r="K17" s="30">
        <v>0</v>
      </c>
      <c r="L17" s="30">
        <v>35256</v>
      </c>
      <c r="M17" s="30">
        <v>57140</v>
      </c>
      <c r="N17" s="41">
        <v>13660</v>
      </c>
    </row>
    <row r="18" spans="1:19" ht="12.95" customHeight="1">
      <c r="A18" s="260"/>
      <c r="B18" s="40" t="s">
        <v>55</v>
      </c>
      <c r="C18" s="29">
        <v>80760</v>
      </c>
      <c r="D18" s="41">
        <v>42549</v>
      </c>
      <c r="E18" s="41">
        <v>0</v>
      </c>
      <c r="F18" s="41">
        <v>0</v>
      </c>
      <c r="G18" s="41">
        <v>0</v>
      </c>
      <c r="H18" s="30">
        <v>103466</v>
      </c>
      <c r="I18" s="41">
        <v>0</v>
      </c>
      <c r="J18" s="30">
        <v>23935.56</v>
      </c>
      <c r="K18" s="30">
        <v>78342</v>
      </c>
      <c r="L18" s="30">
        <v>41548</v>
      </c>
      <c r="M18" s="30">
        <v>59725</v>
      </c>
      <c r="N18" s="41">
        <v>19459.3</v>
      </c>
    </row>
    <row r="19" spans="1:19" ht="12.95" customHeight="1">
      <c r="A19" s="260"/>
      <c r="B19" s="40" t="s">
        <v>56</v>
      </c>
      <c r="C19" s="29">
        <v>6569</v>
      </c>
      <c r="D19" s="41">
        <v>18367</v>
      </c>
      <c r="E19" s="41">
        <v>0</v>
      </c>
      <c r="F19" s="41">
        <v>0</v>
      </c>
      <c r="G19" s="41">
        <v>1400</v>
      </c>
      <c r="H19" s="30">
        <v>60281</v>
      </c>
      <c r="I19" s="41">
        <v>837</v>
      </c>
      <c r="J19" s="30">
        <v>1475</v>
      </c>
      <c r="K19" s="30">
        <v>26047</v>
      </c>
      <c r="L19" s="30">
        <v>7822</v>
      </c>
      <c r="M19" s="30">
        <v>7263</v>
      </c>
      <c r="N19" s="41">
        <v>11797.5</v>
      </c>
    </row>
    <row r="20" spans="1:19" ht="12.95" customHeight="1">
      <c r="A20" s="260"/>
      <c r="B20" s="40" t="s">
        <v>57</v>
      </c>
      <c r="C20" s="29">
        <v>80</v>
      </c>
      <c r="D20" s="41">
        <v>60962</v>
      </c>
      <c r="E20" s="41">
        <v>0</v>
      </c>
      <c r="F20" s="41">
        <v>0</v>
      </c>
      <c r="G20" s="41">
        <v>0</v>
      </c>
      <c r="H20" s="30">
        <v>6572</v>
      </c>
      <c r="I20" s="41">
        <v>0</v>
      </c>
      <c r="J20" s="30">
        <v>0</v>
      </c>
      <c r="K20" s="30">
        <v>0</v>
      </c>
      <c r="L20" s="30">
        <v>212</v>
      </c>
      <c r="M20" s="30">
        <v>220</v>
      </c>
      <c r="N20" s="41">
        <v>655</v>
      </c>
    </row>
    <row r="21" spans="1:19" ht="12.95" customHeight="1">
      <c r="A21" s="260"/>
      <c r="B21" s="40" t="s">
        <v>58</v>
      </c>
      <c r="C21" s="29">
        <v>0</v>
      </c>
      <c r="D21" s="41">
        <v>0</v>
      </c>
      <c r="E21" s="41">
        <v>0</v>
      </c>
      <c r="F21" s="41">
        <v>0</v>
      </c>
      <c r="G21" s="41">
        <v>0</v>
      </c>
      <c r="H21" s="30">
        <v>0</v>
      </c>
      <c r="I21" s="41">
        <v>0</v>
      </c>
      <c r="J21" s="30">
        <v>0</v>
      </c>
      <c r="K21" s="30">
        <v>0</v>
      </c>
      <c r="L21" s="30">
        <v>0</v>
      </c>
      <c r="M21" s="30">
        <v>0</v>
      </c>
      <c r="N21" s="41">
        <v>0</v>
      </c>
    </row>
    <row r="22" spans="1:19" ht="12.95" customHeight="1">
      <c r="A22" s="260"/>
      <c r="B22" s="40" t="s">
        <v>59</v>
      </c>
      <c r="C22" s="29">
        <v>0</v>
      </c>
      <c r="D22" s="41">
        <v>0</v>
      </c>
      <c r="E22" s="41">
        <v>0</v>
      </c>
      <c r="F22" s="41">
        <v>0</v>
      </c>
      <c r="G22" s="41">
        <v>0</v>
      </c>
      <c r="H22" s="30">
        <v>0</v>
      </c>
      <c r="I22" s="41">
        <v>0</v>
      </c>
      <c r="J22" s="30">
        <v>0</v>
      </c>
      <c r="K22" s="30">
        <v>0</v>
      </c>
      <c r="L22" s="30">
        <v>0</v>
      </c>
      <c r="M22" s="30">
        <v>0</v>
      </c>
      <c r="N22" s="41">
        <v>0</v>
      </c>
    </row>
    <row r="23" spans="1:19" ht="12.95" customHeight="1">
      <c r="A23" s="260"/>
      <c r="B23" s="40" t="s">
        <v>60</v>
      </c>
      <c r="C23" s="29">
        <v>26957</v>
      </c>
      <c r="D23" s="41">
        <v>25240</v>
      </c>
      <c r="E23" s="41">
        <v>0</v>
      </c>
      <c r="F23" s="41">
        <v>0</v>
      </c>
      <c r="G23" s="41">
        <v>0</v>
      </c>
      <c r="H23" s="30">
        <v>53539</v>
      </c>
      <c r="I23" s="41">
        <v>2638</v>
      </c>
      <c r="J23" s="30">
        <v>0</v>
      </c>
      <c r="K23" s="30">
        <v>10618</v>
      </c>
      <c r="L23" s="30">
        <v>0</v>
      </c>
      <c r="M23" s="30">
        <v>67118</v>
      </c>
      <c r="N23" s="41">
        <v>29706.02</v>
      </c>
    </row>
    <row r="24" spans="1:19" ht="12.95" customHeight="1">
      <c r="A24" s="260"/>
      <c r="B24" s="40" t="s">
        <v>61</v>
      </c>
      <c r="C24" s="29">
        <v>0</v>
      </c>
      <c r="D24" s="41">
        <v>0</v>
      </c>
      <c r="E24" s="41">
        <v>0</v>
      </c>
      <c r="F24" s="41">
        <v>0</v>
      </c>
      <c r="G24" s="41">
        <v>0</v>
      </c>
      <c r="H24" s="30">
        <v>0</v>
      </c>
      <c r="I24" s="41">
        <v>0</v>
      </c>
      <c r="J24" s="30">
        <v>0</v>
      </c>
      <c r="K24" s="30">
        <v>0</v>
      </c>
      <c r="L24" s="30">
        <v>0</v>
      </c>
      <c r="M24" s="30">
        <v>0</v>
      </c>
      <c r="N24" s="41">
        <v>12086</v>
      </c>
    </row>
    <row r="25" spans="1:19" ht="12.95" customHeight="1">
      <c r="A25" s="260"/>
      <c r="B25" s="40" t="s">
        <v>62</v>
      </c>
      <c r="C25" s="29">
        <v>0</v>
      </c>
      <c r="D25" s="41">
        <v>0</v>
      </c>
      <c r="E25" s="41">
        <v>0</v>
      </c>
      <c r="F25" s="41">
        <v>0</v>
      </c>
      <c r="G25" s="41">
        <v>0</v>
      </c>
      <c r="H25" s="30">
        <v>0</v>
      </c>
      <c r="I25" s="41">
        <v>0</v>
      </c>
      <c r="J25" s="30">
        <v>0</v>
      </c>
      <c r="K25" s="30">
        <v>24737</v>
      </c>
      <c r="L25" s="30">
        <v>0</v>
      </c>
      <c r="M25" s="30">
        <v>0</v>
      </c>
      <c r="N25" s="41">
        <v>11160</v>
      </c>
    </row>
    <row r="26" spans="1:19" ht="12.95" customHeight="1">
      <c r="A26" s="260"/>
      <c r="B26" s="40" t="s">
        <v>63</v>
      </c>
      <c r="C26" s="29">
        <v>103258</v>
      </c>
      <c r="D26" s="41">
        <v>158235</v>
      </c>
      <c r="E26" s="41">
        <v>290</v>
      </c>
      <c r="F26" s="41">
        <v>0</v>
      </c>
      <c r="G26" s="41">
        <v>0</v>
      </c>
      <c r="H26" s="30">
        <v>83367</v>
      </c>
      <c r="I26" s="41">
        <v>37241</v>
      </c>
      <c r="J26" s="30">
        <v>73513.679999999993</v>
      </c>
      <c r="K26" s="30">
        <v>55211</v>
      </c>
      <c r="L26" s="30">
        <v>66025</v>
      </c>
      <c r="M26" s="30">
        <v>25234</v>
      </c>
      <c r="N26" s="41">
        <v>12330.41</v>
      </c>
    </row>
    <row r="27" spans="1:19" ht="12.95" customHeight="1">
      <c r="A27" s="260"/>
      <c r="B27" s="40" t="s">
        <v>64</v>
      </c>
      <c r="C27" s="29">
        <v>0</v>
      </c>
      <c r="D27" s="41">
        <v>0</v>
      </c>
      <c r="E27" s="41">
        <v>0</v>
      </c>
      <c r="F27" s="41">
        <v>0</v>
      </c>
      <c r="G27" s="41">
        <v>0</v>
      </c>
      <c r="H27" s="30">
        <v>0</v>
      </c>
      <c r="I27" s="41">
        <v>19792</v>
      </c>
      <c r="J27" s="30">
        <v>0</v>
      </c>
      <c r="K27" s="30">
        <v>71010</v>
      </c>
      <c r="L27" s="30">
        <v>68294</v>
      </c>
      <c r="M27" s="30">
        <v>0</v>
      </c>
      <c r="N27" s="41">
        <v>211.46</v>
      </c>
    </row>
    <row r="28" spans="1:19" ht="12.95" customHeight="1">
      <c r="A28" s="260"/>
      <c r="B28" s="40" t="s">
        <v>65</v>
      </c>
      <c r="C28" s="29">
        <v>133477</v>
      </c>
      <c r="D28" s="41">
        <v>291626</v>
      </c>
      <c r="E28" s="41">
        <v>16316</v>
      </c>
      <c r="F28" s="41">
        <v>0</v>
      </c>
      <c r="G28" s="41">
        <v>0</v>
      </c>
      <c r="H28" s="30">
        <v>6299</v>
      </c>
      <c r="I28" s="41">
        <f>164118+89505</f>
        <v>253623</v>
      </c>
      <c r="J28" s="30">
        <v>73899.399999999994</v>
      </c>
      <c r="K28" s="30">
        <v>120457</v>
      </c>
      <c r="L28" s="30">
        <v>89178</v>
      </c>
      <c r="M28" s="30">
        <v>173060</v>
      </c>
      <c r="N28" s="41">
        <v>170884.88</v>
      </c>
      <c r="Q28" s="31">
        <f>SUM(C28:J28)</f>
        <v>775240.4</v>
      </c>
    </row>
    <row r="29" spans="1:19" ht="12.95" customHeight="1">
      <c r="A29" s="260"/>
      <c r="B29" s="40" t="s">
        <v>66</v>
      </c>
      <c r="C29" s="29">
        <v>23</v>
      </c>
      <c r="D29" s="41">
        <v>2190</v>
      </c>
      <c r="E29" s="41">
        <v>0</v>
      </c>
      <c r="F29" s="41">
        <v>-1740</v>
      </c>
      <c r="G29" s="41">
        <v>0</v>
      </c>
      <c r="H29" s="30">
        <v>1144</v>
      </c>
      <c r="I29" s="41">
        <v>2275</v>
      </c>
      <c r="J29" s="30">
        <v>380</v>
      </c>
      <c r="K29" s="30">
        <v>0</v>
      </c>
      <c r="L29" s="30">
        <v>348</v>
      </c>
      <c r="M29" s="30">
        <v>0</v>
      </c>
      <c r="N29" s="41">
        <v>0</v>
      </c>
      <c r="Q29" s="31">
        <f>SUM(C29:J29)</f>
        <v>4272</v>
      </c>
    </row>
    <row r="30" spans="1:19" ht="12.95" customHeight="1">
      <c r="A30" s="260"/>
      <c r="B30" s="40" t="s">
        <v>67</v>
      </c>
      <c r="C30" s="26">
        <v>104974</v>
      </c>
      <c r="D30" s="42">
        <v>27714</v>
      </c>
      <c r="E30" s="42">
        <v>1208</v>
      </c>
      <c r="F30" s="42">
        <v>18463</v>
      </c>
      <c r="G30" s="42">
        <v>16609</v>
      </c>
      <c r="H30" s="27">
        <v>7637</v>
      </c>
      <c r="I30" s="42">
        <v>5864</v>
      </c>
      <c r="J30" s="27">
        <v>36545.699999999997</v>
      </c>
      <c r="K30" s="27">
        <v>1021</v>
      </c>
      <c r="L30" s="27">
        <v>2911</v>
      </c>
      <c r="M30" s="27">
        <v>1529</v>
      </c>
      <c r="N30" s="42">
        <v>635.92999999999995</v>
      </c>
      <c r="O30" s="31"/>
      <c r="Q30" s="31">
        <f>SUM(C30:J30)</f>
        <v>219014.7</v>
      </c>
      <c r="R30" s="31">
        <f>+Q30+Q29+Q8</f>
        <v>203602.17</v>
      </c>
      <c r="S30" s="20" t="s">
        <v>68</v>
      </c>
    </row>
    <row r="31" spans="1:19" s="33" customFormat="1" ht="12.95" customHeight="1" thickBot="1">
      <c r="A31" s="256" t="s">
        <v>69</v>
      </c>
      <c r="B31" s="43"/>
      <c r="C31" s="44">
        <f>SUM(C15:C30)</f>
        <v>570262</v>
      </c>
      <c r="D31" s="44">
        <f>SUM(D15:D30)</f>
        <v>719077</v>
      </c>
      <c r="E31" s="44">
        <f>SUM(E15:E30)</f>
        <v>17814</v>
      </c>
      <c r="F31" s="44">
        <f>SUM(F15:F30)</f>
        <v>16723</v>
      </c>
      <c r="G31" s="44">
        <f t="shared" ref="G31:N31" si="2">SUM(G15:G30)</f>
        <v>18009</v>
      </c>
      <c r="H31" s="44">
        <f t="shared" si="2"/>
        <v>668487</v>
      </c>
      <c r="I31" s="44">
        <f t="shared" si="2"/>
        <v>427137</v>
      </c>
      <c r="J31" s="44">
        <f t="shared" si="2"/>
        <v>318077.65999999997</v>
      </c>
      <c r="K31" s="44">
        <f t="shared" si="2"/>
        <v>476511</v>
      </c>
      <c r="L31" s="44">
        <f t="shared" si="2"/>
        <v>418190</v>
      </c>
      <c r="M31" s="44">
        <f t="shared" si="2"/>
        <v>462195</v>
      </c>
      <c r="N31" s="44">
        <f t="shared" si="2"/>
        <v>313682.5</v>
      </c>
      <c r="O31" s="45">
        <f>AVERAGE(C31:N31)</f>
        <v>368847.09666666668</v>
      </c>
      <c r="P31" s="45"/>
      <c r="Q31" s="45">
        <f>SUM(C31:J31)+SUM(C11:J13)</f>
        <v>3301769.66</v>
      </c>
      <c r="R31" s="33" t="s">
        <v>70</v>
      </c>
    </row>
    <row r="32" spans="1:19" ht="12.95" customHeight="1">
      <c r="A32" s="254" t="s">
        <v>71</v>
      </c>
      <c r="B32" s="36"/>
      <c r="C32" s="37"/>
      <c r="D32" s="38"/>
      <c r="E32" s="38"/>
      <c r="F32" s="38"/>
      <c r="G32" s="38"/>
      <c r="H32" s="39"/>
      <c r="I32" s="38"/>
      <c r="J32" s="39"/>
      <c r="K32" s="39"/>
      <c r="L32" s="39"/>
      <c r="M32" s="39"/>
      <c r="N32" s="38"/>
    </row>
    <row r="33" spans="1:17" ht="12.95" customHeight="1">
      <c r="A33" s="260"/>
      <c r="B33" s="40" t="s">
        <v>72</v>
      </c>
      <c r="C33" s="29">
        <v>113746</v>
      </c>
      <c r="D33" s="41">
        <v>233777</v>
      </c>
      <c r="E33" s="41">
        <v>62474</v>
      </c>
      <c r="F33" s="41">
        <v>194543</v>
      </c>
      <c r="G33" s="41">
        <v>106534</v>
      </c>
      <c r="H33" s="30">
        <v>235331</v>
      </c>
      <c r="I33" s="41">
        <v>142424</v>
      </c>
      <c r="J33" s="30">
        <v>180210.05000000002</v>
      </c>
      <c r="K33" s="30">
        <v>250106</v>
      </c>
      <c r="L33" s="30">
        <v>156685</v>
      </c>
      <c r="M33" s="30">
        <v>138626</v>
      </c>
      <c r="N33" s="41">
        <v>150190.78</v>
      </c>
      <c r="Q33" s="31">
        <f>SUM(C33:J33)</f>
        <v>1269039.05</v>
      </c>
    </row>
    <row r="34" spans="1:17" ht="12.95" customHeight="1">
      <c r="A34" s="260"/>
      <c r="B34" s="40" t="s">
        <v>73</v>
      </c>
      <c r="C34" s="29">
        <v>214581</v>
      </c>
      <c r="D34" s="41">
        <v>243099</v>
      </c>
      <c r="E34" s="41">
        <v>59454</v>
      </c>
      <c r="F34" s="41">
        <v>9197</v>
      </c>
      <c r="G34" s="41">
        <v>0</v>
      </c>
      <c r="H34" s="30">
        <v>4465</v>
      </c>
      <c r="I34" s="41">
        <v>104322</v>
      </c>
      <c r="J34" s="30">
        <v>110152.21999999999</v>
      </c>
      <c r="K34" s="30">
        <v>126641</v>
      </c>
      <c r="L34" s="30">
        <v>156405</v>
      </c>
      <c r="M34" s="30">
        <v>128119</v>
      </c>
      <c r="N34" s="41">
        <v>234820.47</v>
      </c>
      <c r="Q34" s="31">
        <f>SUM(C34:J34)</f>
        <v>745270.22</v>
      </c>
    </row>
    <row r="35" spans="1:17" ht="12.95" customHeight="1">
      <c r="A35" s="260"/>
      <c r="B35" s="40" t="s">
        <v>74</v>
      </c>
      <c r="C35" s="29">
        <v>15844</v>
      </c>
      <c r="D35" s="41">
        <v>38594</v>
      </c>
      <c r="E35" s="41">
        <v>0</v>
      </c>
      <c r="F35" s="41">
        <v>4141</v>
      </c>
      <c r="G35" s="41">
        <v>0</v>
      </c>
      <c r="H35" s="30">
        <v>90928</v>
      </c>
      <c r="I35" s="41">
        <v>9121</v>
      </c>
      <c r="J35" s="30">
        <v>3380.68</v>
      </c>
      <c r="K35" s="30">
        <v>17163</v>
      </c>
      <c r="L35" s="30">
        <v>16892</v>
      </c>
      <c r="M35" s="30">
        <v>8177</v>
      </c>
      <c r="N35" s="41">
        <v>13052.220000000001</v>
      </c>
    </row>
    <row r="36" spans="1:17" ht="12.95" customHeight="1">
      <c r="A36" s="260"/>
      <c r="B36" s="40" t="s">
        <v>75</v>
      </c>
      <c r="C36" s="29">
        <v>16115</v>
      </c>
      <c r="D36" s="41">
        <v>31888</v>
      </c>
      <c r="E36" s="41">
        <v>0</v>
      </c>
      <c r="F36" s="41">
        <v>0</v>
      </c>
      <c r="G36" s="41">
        <v>0</v>
      </c>
      <c r="H36" s="30">
        <v>0</v>
      </c>
      <c r="I36" s="41">
        <v>12678</v>
      </c>
      <c r="J36" s="30">
        <v>11855.58</v>
      </c>
      <c r="K36" s="30">
        <v>18131</v>
      </c>
      <c r="L36" s="30">
        <v>12761</v>
      </c>
      <c r="M36" s="30">
        <v>0</v>
      </c>
      <c r="N36" s="41">
        <v>17112.689999999999</v>
      </c>
    </row>
    <row r="37" spans="1:17" ht="12.95" customHeight="1">
      <c r="A37" s="260"/>
      <c r="B37" s="40" t="s">
        <v>63</v>
      </c>
      <c r="C37" s="29">
        <v>12573</v>
      </c>
      <c r="D37" s="41">
        <v>21335</v>
      </c>
      <c r="E37" s="41">
        <v>0</v>
      </c>
      <c r="F37" s="41">
        <v>665</v>
      </c>
      <c r="G37" s="41">
        <v>1200</v>
      </c>
      <c r="H37" s="30">
        <v>22225</v>
      </c>
      <c r="I37" s="41">
        <v>3041</v>
      </c>
      <c r="J37" s="30">
        <v>11355.57</v>
      </c>
      <c r="K37" s="30">
        <v>23258</v>
      </c>
      <c r="L37" s="30">
        <v>21554</v>
      </c>
      <c r="M37" s="30">
        <v>45096</v>
      </c>
      <c r="N37" s="41">
        <v>4743</v>
      </c>
    </row>
    <row r="38" spans="1:17" ht="12.95" customHeight="1">
      <c r="A38" s="260"/>
      <c r="B38" s="40" t="s">
        <v>76</v>
      </c>
      <c r="C38" s="29">
        <v>40978</v>
      </c>
      <c r="D38" s="41">
        <v>0</v>
      </c>
      <c r="E38" s="41">
        <v>0</v>
      </c>
      <c r="F38" s="41">
        <v>1386</v>
      </c>
      <c r="G38" s="41">
        <v>0</v>
      </c>
      <c r="H38" s="30">
        <v>0</v>
      </c>
      <c r="I38" s="41">
        <v>690</v>
      </c>
      <c r="J38" s="30">
        <v>5838.33</v>
      </c>
      <c r="K38" s="30">
        <v>36357</v>
      </c>
      <c r="L38" s="30">
        <v>17183</v>
      </c>
      <c r="M38" s="30">
        <v>49899</v>
      </c>
      <c r="N38" s="41">
        <v>0</v>
      </c>
    </row>
    <row r="39" spans="1:17" ht="12.95" customHeight="1">
      <c r="A39" s="260"/>
      <c r="B39" s="40" t="s">
        <v>77</v>
      </c>
      <c r="C39" s="29">
        <v>24025</v>
      </c>
      <c r="D39" s="41">
        <v>17995</v>
      </c>
      <c r="E39" s="41">
        <v>0</v>
      </c>
      <c r="F39" s="41">
        <v>20054</v>
      </c>
      <c r="G39" s="41">
        <v>6100</v>
      </c>
      <c r="H39" s="30">
        <v>731</v>
      </c>
      <c r="I39" s="41">
        <v>3266</v>
      </c>
      <c r="J39" s="30">
        <v>4728.7300000000005</v>
      </c>
      <c r="K39" s="30">
        <v>14976</v>
      </c>
      <c r="L39" s="30">
        <v>42570</v>
      </c>
      <c r="M39" s="30">
        <v>18765</v>
      </c>
      <c r="N39" s="41">
        <v>6207</v>
      </c>
    </row>
    <row r="40" spans="1:17" ht="12.95" customHeight="1">
      <c r="A40" s="260"/>
      <c r="B40" s="40" t="s">
        <v>56</v>
      </c>
      <c r="C40" s="29">
        <v>18435</v>
      </c>
      <c r="D40" s="41">
        <v>25836</v>
      </c>
      <c r="E40" s="41">
        <v>0</v>
      </c>
      <c r="F40" s="41">
        <v>56077</v>
      </c>
      <c r="G40" s="41">
        <v>585</v>
      </c>
      <c r="H40" s="30">
        <v>68006</v>
      </c>
      <c r="I40" s="41">
        <v>481</v>
      </c>
      <c r="J40" s="30">
        <v>3872.0899999999992</v>
      </c>
      <c r="K40" s="30">
        <v>6606</v>
      </c>
      <c r="L40" s="30">
        <v>29988</v>
      </c>
      <c r="M40" s="30">
        <v>11850</v>
      </c>
      <c r="N40" s="41">
        <v>13201.660000000002</v>
      </c>
    </row>
    <row r="41" spans="1:17" ht="12.95" customHeight="1">
      <c r="A41" s="260"/>
      <c r="B41" s="40" t="s">
        <v>57</v>
      </c>
      <c r="C41" s="29">
        <v>0</v>
      </c>
      <c r="D41" s="41">
        <v>39050</v>
      </c>
      <c r="E41" s="41">
        <v>0</v>
      </c>
      <c r="F41" s="41">
        <v>0</v>
      </c>
      <c r="G41" s="41">
        <v>0</v>
      </c>
      <c r="H41" s="30">
        <v>210</v>
      </c>
      <c r="I41" s="41">
        <v>0</v>
      </c>
      <c r="J41" s="30">
        <v>0</v>
      </c>
      <c r="K41" s="30">
        <v>0</v>
      </c>
      <c r="L41" s="30">
        <v>355</v>
      </c>
      <c r="M41" s="30">
        <v>0</v>
      </c>
      <c r="N41" s="41">
        <v>571.35</v>
      </c>
    </row>
    <row r="42" spans="1:17" ht="12.95" customHeight="1">
      <c r="A42" s="260"/>
      <c r="B42" s="40" t="s">
        <v>58</v>
      </c>
      <c r="C42" s="29">
        <v>0</v>
      </c>
      <c r="D42" s="41">
        <v>0</v>
      </c>
      <c r="E42" s="41">
        <v>0</v>
      </c>
      <c r="F42" s="41">
        <v>0</v>
      </c>
      <c r="G42" s="41">
        <v>0</v>
      </c>
      <c r="H42" s="30">
        <v>0</v>
      </c>
      <c r="I42" s="41">
        <v>0</v>
      </c>
      <c r="J42" s="30">
        <v>0</v>
      </c>
      <c r="K42" s="30">
        <v>0</v>
      </c>
      <c r="L42" s="30">
        <v>0</v>
      </c>
      <c r="M42" s="30">
        <v>0</v>
      </c>
      <c r="N42" s="41">
        <v>0</v>
      </c>
    </row>
    <row r="43" spans="1:17" ht="12.95" customHeight="1">
      <c r="A43" s="260"/>
      <c r="B43" s="40" t="s">
        <v>59</v>
      </c>
      <c r="C43" s="29">
        <v>0</v>
      </c>
      <c r="D43" s="41">
        <v>0</v>
      </c>
      <c r="E43" s="41">
        <v>0</v>
      </c>
      <c r="F43" s="41">
        <v>0</v>
      </c>
      <c r="G43" s="41">
        <v>0</v>
      </c>
      <c r="H43" s="30">
        <v>0</v>
      </c>
      <c r="I43" s="41">
        <v>0</v>
      </c>
      <c r="J43" s="30">
        <v>0</v>
      </c>
      <c r="K43" s="30">
        <v>0</v>
      </c>
      <c r="L43" s="30">
        <v>0</v>
      </c>
      <c r="M43" s="30">
        <v>0</v>
      </c>
      <c r="N43" s="41">
        <v>0</v>
      </c>
    </row>
    <row r="44" spans="1:17" ht="12.95" customHeight="1">
      <c r="A44" s="260"/>
      <c r="B44" s="40" t="s">
        <v>78</v>
      </c>
      <c r="C44" s="29">
        <v>62659</v>
      </c>
      <c r="D44" s="41">
        <v>54061</v>
      </c>
      <c r="E44" s="41">
        <v>0</v>
      </c>
      <c r="F44" s="41">
        <v>12786</v>
      </c>
      <c r="G44" s="41">
        <v>0</v>
      </c>
      <c r="H44" s="30">
        <v>236674</v>
      </c>
      <c r="I44" s="41">
        <v>35659</v>
      </c>
      <c r="J44" s="30">
        <v>26515</v>
      </c>
      <c r="K44" s="30">
        <v>72810</v>
      </c>
      <c r="L44" s="30">
        <v>38584</v>
      </c>
      <c r="M44" s="30">
        <v>84178</v>
      </c>
      <c r="N44" s="41">
        <v>25196.82</v>
      </c>
    </row>
    <row r="45" spans="1:17" ht="12.95" customHeight="1">
      <c r="A45" s="260"/>
      <c r="B45" s="40" t="s">
        <v>61</v>
      </c>
      <c r="C45" s="29">
        <v>0</v>
      </c>
      <c r="D45" s="41">
        <v>0</v>
      </c>
      <c r="E45" s="41">
        <v>0</v>
      </c>
      <c r="F45" s="41">
        <v>0</v>
      </c>
      <c r="G45" s="41">
        <v>0</v>
      </c>
      <c r="H45" s="30">
        <v>0</v>
      </c>
      <c r="I45" s="41">
        <v>0</v>
      </c>
      <c r="J45" s="30">
        <v>0</v>
      </c>
      <c r="K45" s="30">
        <v>0</v>
      </c>
      <c r="L45" s="30">
        <v>0</v>
      </c>
      <c r="M45" s="30">
        <v>0</v>
      </c>
      <c r="N45" s="41">
        <v>0</v>
      </c>
    </row>
    <row r="46" spans="1:17" ht="12.95" customHeight="1">
      <c r="A46" s="260"/>
      <c r="B46" s="40" t="s">
        <v>79</v>
      </c>
      <c r="C46" s="29">
        <v>0</v>
      </c>
      <c r="D46" s="41">
        <v>8118</v>
      </c>
      <c r="E46" s="41">
        <v>0</v>
      </c>
      <c r="F46" s="41">
        <v>0</v>
      </c>
      <c r="G46" s="41">
        <v>0</v>
      </c>
      <c r="H46" s="30">
        <v>0</v>
      </c>
      <c r="I46" s="41">
        <f>6990+53637</f>
        <v>60627</v>
      </c>
      <c r="J46" s="30">
        <v>0</v>
      </c>
      <c r="K46" s="30">
        <v>0</v>
      </c>
      <c r="L46" s="30">
        <v>0</v>
      </c>
      <c r="M46" s="30">
        <v>0</v>
      </c>
      <c r="N46" s="41">
        <v>0</v>
      </c>
    </row>
    <row r="47" spans="1:17" ht="12.95" customHeight="1">
      <c r="A47" s="260"/>
      <c r="B47" s="40" t="s">
        <v>80</v>
      </c>
      <c r="C47" s="29">
        <v>0</v>
      </c>
      <c r="D47" s="41">
        <v>55235</v>
      </c>
      <c r="E47" s="41">
        <v>0</v>
      </c>
      <c r="F47" s="41">
        <v>0</v>
      </c>
      <c r="G47" s="41">
        <v>0</v>
      </c>
      <c r="H47" s="30">
        <v>0</v>
      </c>
      <c r="I47" s="41">
        <v>0</v>
      </c>
      <c r="J47" s="30">
        <v>0</v>
      </c>
      <c r="K47" s="30">
        <v>9800</v>
      </c>
      <c r="L47" s="30">
        <v>0</v>
      </c>
      <c r="M47" s="30">
        <v>0</v>
      </c>
      <c r="N47" s="41">
        <v>1198.45</v>
      </c>
    </row>
    <row r="48" spans="1:17" ht="12.95" customHeight="1">
      <c r="A48" s="260"/>
      <c r="B48" s="40" t="s">
        <v>81</v>
      </c>
      <c r="C48" s="29">
        <v>-3703</v>
      </c>
      <c r="D48" s="41">
        <v>2111</v>
      </c>
      <c r="E48" s="29">
        <v>1432</v>
      </c>
      <c r="F48" s="41">
        <v>340</v>
      </c>
      <c r="G48" s="41">
        <v>700</v>
      </c>
      <c r="H48" s="30">
        <v>8666</v>
      </c>
      <c r="I48" s="41">
        <v>571</v>
      </c>
      <c r="J48" s="30">
        <v>-673.41</v>
      </c>
      <c r="K48" s="30">
        <v>14315</v>
      </c>
      <c r="L48" s="30">
        <v>0</v>
      </c>
      <c r="M48" s="30">
        <v>0</v>
      </c>
      <c r="N48" s="41">
        <v>5787.56</v>
      </c>
    </row>
    <row r="49" spans="1:17" ht="12.95" customHeight="1">
      <c r="A49" s="260"/>
      <c r="B49" s="40" t="s">
        <v>82</v>
      </c>
      <c r="C49" s="29">
        <v>27</v>
      </c>
      <c r="D49" s="41">
        <v>-306</v>
      </c>
      <c r="E49" s="41">
        <v>0</v>
      </c>
      <c r="F49" s="41">
        <v>0</v>
      </c>
      <c r="G49" s="41">
        <v>0</v>
      </c>
      <c r="H49" s="30">
        <v>0</v>
      </c>
      <c r="I49" s="41">
        <v>262</v>
      </c>
      <c r="J49" s="30">
        <v>74.149999999999991</v>
      </c>
      <c r="K49" s="30">
        <v>22</v>
      </c>
      <c r="L49" s="30">
        <v>-46</v>
      </c>
      <c r="M49" s="30">
        <v>0</v>
      </c>
      <c r="N49" s="41">
        <v>129</v>
      </c>
    </row>
    <row r="50" spans="1:17" ht="12.95" customHeight="1">
      <c r="A50" s="260"/>
      <c r="B50" s="40" t="s">
        <v>83</v>
      </c>
      <c r="C50" s="29">
        <v>375</v>
      </c>
      <c r="D50" s="41">
        <v>1427</v>
      </c>
      <c r="E50" s="41">
        <v>0</v>
      </c>
      <c r="F50" s="41">
        <v>0</v>
      </c>
      <c r="G50" s="41">
        <v>0</v>
      </c>
      <c r="H50" s="30">
        <v>0</v>
      </c>
      <c r="I50" s="41">
        <v>0</v>
      </c>
      <c r="J50" s="30">
        <v>0</v>
      </c>
      <c r="K50" s="30">
        <v>0</v>
      </c>
      <c r="L50" s="30">
        <v>0</v>
      </c>
      <c r="M50" s="30">
        <v>0</v>
      </c>
      <c r="N50" s="41">
        <v>32000</v>
      </c>
    </row>
    <row r="51" spans="1:17" s="33" customFormat="1" ht="12.95" customHeight="1" thickBot="1">
      <c r="A51" s="256" t="s">
        <v>84</v>
      </c>
      <c r="B51" s="43"/>
      <c r="C51" s="46">
        <f t="shared" ref="C51:L51" si="3">SUM(C33:C50)</f>
        <v>515655</v>
      </c>
      <c r="D51" s="46">
        <f t="shared" si="3"/>
        <v>772220</v>
      </c>
      <c r="E51" s="46">
        <f t="shared" si="3"/>
        <v>123360</v>
      </c>
      <c r="F51" s="46">
        <f t="shared" si="3"/>
        <v>299189</v>
      </c>
      <c r="G51" s="46">
        <f t="shared" si="3"/>
        <v>115119</v>
      </c>
      <c r="H51" s="46">
        <f t="shared" si="3"/>
        <v>667236</v>
      </c>
      <c r="I51" s="46">
        <f t="shared" si="3"/>
        <v>373142</v>
      </c>
      <c r="J51" s="46">
        <f t="shared" si="3"/>
        <v>357308.99000000011</v>
      </c>
      <c r="K51" s="46">
        <f t="shared" si="3"/>
        <v>590185</v>
      </c>
      <c r="L51" s="46">
        <f t="shared" si="3"/>
        <v>492931</v>
      </c>
      <c r="M51" s="46">
        <f>SUM(M33:M50)</f>
        <v>484710</v>
      </c>
      <c r="N51" s="46">
        <f>SUM(N33:N50)</f>
        <v>504210.99999999994</v>
      </c>
      <c r="O51" s="45">
        <f>AVERAGE(C51:N51)</f>
        <v>441272.2491666667</v>
      </c>
      <c r="P51" s="45"/>
      <c r="Q51" s="45">
        <f>SUM(C51:J51)+SUM(C53:J53)</f>
        <v>3508009.99</v>
      </c>
    </row>
    <row r="52" spans="1:17" ht="12.95" customHeight="1">
      <c r="A52" s="254" t="s">
        <v>85</v>
      </c>
      <c r="B52" s="36"/>
      <c r="C52" s="26"/>
      <c r="D52" s="42"/>
      <c r="E52" s="42"/>
      <c r="F52" s="42"/>
      <c r="G52" s="42"/>
      <c r="H52" s="27"/>
      <c r="I52" s="42"/>
      <c r="J52" s="27"/>
      <c r="K52" s="27"/>
      <c r="L52" s="27"/>
      <c r="M52" s="27"/>
      <c r="N52" s="42"/>
    </row>
    <row r="53" spans="1:17" s="33" customFormat="1" ht="12.95" customHeight="1">
      <c r="A53" s="258"/>
      <c r="B53" s="34" t="s">
        <v>86</v>
      </c>
      <c r="C53" s="35">
        <v>53531</v>
      </c>
      <c r="D53" s="35">
        <v>81101</v>
      </c>
      <c r="E53" s="35">
        <v>32108</v>
      </c>
      <c r="F53" s="35">
        <v>16148</v>
      </c>
      <c r="G53" s="35">
        <v>0</v>
      </c>
      <c r="H53" s="156">
        <v>324</v>
      </c>
      <c r="I53" s="35">
        <v>74668</v>
      </c>
      <c r="J53" s="35">
        <v>26900</v>
      </c>
      <c r="K53" s="35">
        <v>153168</v>
      </c>
      <c r="L53" s="35">
        <v>48616</v>
      </c>
      <c r="M53" s="35">
        <v>8081</v>
      </c>
      <c r="N53" s="35">
        <v>30205.64</v>
      </c>
      <c r="Q53" s="31">
        <f>SUM(C53:J53)</f>
        <v>284780</v>
      </c>
    </row>
    <row r="54" spans="1:17" s="33" customFormat="1" ht="12.95" customHeight="1">
      <c r="A54" s="261"/>
      <c r="B54" s="47" t="s">
        <v>207</v>
      </c>
      <c r="C54" s="35">
        <v>394694</v>
      </c>
      <c r="D54" s="35">
        <v>199332</v>
      </c>
      <c r="E54" s="35">
        <v>253714</v>
      </c>
      <c r="F54" s="35">
        <v>321160</v>
      </c>
      <c r="G54" s="35">
        <v>0</v>
      </c>
      <c r="H54" s="156">
        <v>0</v>
      </c>
      <c r="I54" s="35">
        <v>99590</v>
      </c>
      <c r="J54" s="35">
        <v>359257</v>
      </c>
      <c r="K54" s="35">
        <v>0</v>
      </c>
      <c r="L54" s="35">
        <v>133390</v>
      </c>
      <c r="M54" s="35">
        <v>0</v>
      </c>
      <c r="N54" s="35">
        <v>0</v>
      </c>
      <c r="Q54" s="31">
        <f>SUM(C54:J54)</f>
        <v>1627747</v>
      </c>
    </row>
    <row r="55" spans="1:17" s="33" customFormat="1" ht="12.95" customHeight="1">
      <c r="A55" s="257" t="s">
        <v>208</v>
      </c>
      <c r="B55" s="47"/>
      <c r="C55" s="35">
        <f t="shared" ref="C55:L55" si="4">+C31-C51</f>
        <v>54607</v>
      </c>
      <c r="D55" s="35">
        <f t="shared" si="4"/>
        <v>-53143</v>
      </c>
      <c r="E55" s="35">
        <f t="shared" si="4"/>
        <v>-105546</v>
      </c>
      <c r="F55" s="35">
        <f t="shared" si="4"/>
        <v>-282466</v>
      </c>
      <c r="G55" s="35">
        <f t="shared" si="4"/>
        <v>-97110</v>
      </c>
      <c r="H55" s="35">
        <f t="shared" si="4"/>
        <v>1251</v>
      </c>
      <c r="I55" s="35">
        <f t="shared" si="4"/>
        <v>53995</v>
      </c>
      <c r="J55" s="35">
        <f t="shared" ref="J55" si="5">+J31-J51</f>
        <v>-39231.330000000133</v>
      </c>
      <c r="K55" s="35">
        <f t="shared" si="4"/>
        <v>-113674</v>
      </c>
      <c r="L55" s="35">
        <f t="shared" si="4"/>
        <v>-74741</v>
      </c>
      <c r="M55" s="35">
        <f>+M31-M51</f>
        <v>-22515</v>
      </c>
      <c r="N55" s="35">
        <f>+N31-N51</f>
        <v>-190528.49999999994</v>
      </c>
      <c r="O55" s="45">
        <f>AVERAGE(C55:N55)</f>
        <v>-72425.152500000011</v>
      </c>
    </row>
    <row r="56" spans="1:17" s="33" customFormat="1" ht="12.95" customHeight="1">
      <c r="A56" s="257" t="s">
        <v>209</v>
      </c>
      <c r="B56" s="47"/>
      <c r="C56" s="35">
        <f>+C31-C51-C53-C54</f>
        <v>-393618</v>
      </c>
      <c r="D56" s="35">
        <f t="shared" ref="D56:N56" si="6">+D31-D51-D53-D54</f>
        <v>-333576</v>
      </c>
      <c r="E56" s="35">
        <f t="shared" si="6"/>
        <v>-391368</v>
      </c>
      <c r="F56" s="35">
        <f t="shared" si="6"/>
        <v>-619774</v>
      </c>
      <c r="G56" s="35">
        <f t="shared" si="6"/>
        <v>-97110</v>
      </c>
      <c r="H56" s="35">
        <f t="shared" si="6"/>
        <v>927</v>
      </c>
      <c r="I56" s="35">
        <f t="shared" si="6"/>
        <v>-120263</v>
      </c>
      <c r="J56" s="35">
        <f t="shared" si="6"/>
        <v>-425388.33000000013</v>
      </c>
      <c r="K56" s="35">
        <f t="shared" si="6"/>
        <v>-266842</v>
      </c>
      <c r="L56" s="35">
        <f t="shared" si="6"/>
        <v>-256747</v>
      </c>
      <c r="M56" s="35">
        <f t="shared" si="6"/>
        <v>-30596</v>
      </c>
      <c r="N56" s="35">
        <f t="shared" si="6"/>
        <v>-220734.13999999996</v>
      </c>
      <c r="O56" s="45">
        <f>AVERAGE(C56:N56)</f>
        <v>-262924.1225</v>
      </c>
    </row>
    <row r="57" spans="1:17" s="33" customFormat="1" ht="12.95" customHeight="1">
      <c r="A57" s="257" t="s">
        <v>210</v>
      </c>
      <c r="B57" s="47"/>
      <c r="C57" s="35">
        <f t="shared" ref="C57:L57" si="7">+C11+C12+C13+C31+-C51</f>
        <v>108752</v>
      </c>
      <c r="D57" s="35">
        <f t="shared" si="7"/>
        <v>91494</v>
      </c>
      <c r="E57" s="35">
        <f t="shared" si="7"/>
        <v>42876</v>
      </c>
      <c r="F57" s="35">
        <f t="shared" si="7"/>
        <v>-238963</v>
      </c>
      <c r="G57" s="35">
        <f t="shared" si="7"/>
        <v>-46699</v>
      </c>
      <c r="H57" s="35">
        <f t="shared" si="7"/>
        <v>1251</v>
      </c>
      <c r="I57" s="35">
        <f t="shared" si="7"/>
        <v>108140</v>
      </c>
      <c r="J57" s="35">
        <f t="shared" ref="J57" si="8">+J11+J12+J13+J31+-J51</f>
        <v>11688.669999999867</v>
      </c>
      <c r="K57" s="35">
        <f t="shared" si="7"/>
        <v>-60403</v>
      </c>
      <c r="L57" s="35">
        <f t="shared" si="7"/>
        <v>-20596</v>
      </c>
      <c r="M57" s="35">
        <f>+M11+M12+M13+M31+-M51</f>
        <v>31630</v>
      </c>
      <c r="N57" s="35">
        <f>+N11+N12+N13+N31+-N51</f>
        <v>-113590.49999999994</v>
      </c>
      <c r="O57" s="45">
        <f>AVERAGE(C57:N57)</f>
        <v>-7034.9858333333395</v>
      </c>
      <c r="P57" s="45"/>
    </row>
    <row r="58" spans="1:17" s="33" customFormat="1" ht="12.95" customHeight="1">
      <c r="A58" s="257" t="s">
        <v>211</v>
      </c>
      <c r="B58" s="47"/>
      <c r="C58" s="35">
        <f>+C11+C12+C13+C31-C51-C53-C54</f>
        <v>-339473</v>
      </c>
      <c r="D58" s="35">
        <f t="shared" ref="D58:N58" si="9">+D11+D12+D13+D31-D51-D53-D54</f>
        <v>-188939</v>
      </c>
      <c r="E58" s="35">
        <f t="shared" si="9"/>
        <v>-242946</v>
      </c>
      <c r="F58" s="35">
        <f t="shared" si="9"/>
        <v>-576271</v>
      </c>
      <c r="G58" s="35">
        <f t="shared" si="9"/>
        <v>-46699</v>
      </c>
      <c r="H58" s="35">
        <f t="shared" si="9"/>
        <v>927</v>
      </c>
      <c r="I58" s="35">
        <f t="shared" si="9"/>
        <v>-66118</v>
      </c>
      <c r="J58" s="35">
        <f t="shared" si="9"/>
        <v>-374468.33000000013</v>
      </c>
      <c r="K58" s="35">
        <f t="shared" si="9"/>
        <v>-213571</v>
      </c>
      <c r="L58" s="35">
        <f t="shared" si="9"/>
        <v>-202602</v>
      </c>
      <c r="M58" s="35">
        <f t="shared" si="9"/>
        <v>23549</v>
      </c>
      <c r="N58" s="35">
        <f t="shared" si="9"/>
        <v>-143796.13999999996</v>
      </c>
      <c r="O58" s="45">
        <f>AVERAGE(C58:N58)</f>
        <v>-197533.95583333334</v>
      </c>
      <c r="P58" s="45"/>
      <c r="Q58" s="45">
        <f>SUM(C58:J58)</f>
        <v>-1833987.33</v>
      </c>
    </row>
    <row r="59" spans="1:17" s="51" customFormat="1" ht="12.95" customHeight="1">
      <c r="A59" s="255" t="s">
        <v>206</v>
      </c>
      <c r="B59" s="22"/>
      <c r="C59" s="48"/>
      <c r="D59" s="49"/>
      <c r="E59" s="49"/>
      <c r="F59" s="49"/>
      <c r="G59" s="49"/>
      <c r="H59" s="50"/>
      <c r="I59" s="49"/>
      <c r="J59" s="49"/>
      <c r="K59" s="49"/>
      <c r="L59" s="50"/>
      <c r="M59" s="50"/>
      <c r="N59" s="49"/>
    </row>
    <row r="60" spans="1:17" s="240" customFormat="1" ht="12.95" customHeight="1">
      <c r="A60" s="262"/>
      <c r="B60" s="238" t="s">
        <v>42</v>
      </c>
      <c r="C60" s="27">
        <v>173612</v>
      </c>
      <c r="D60" s="27">
        <v>234802</v>
      </c>
      <c r="E60" s="27">
        <v>28233</v>
      </c>
      <c r="F60" s="27">
        <v>-1022994</v>
      </c>
      <c r="G60" s="27">
        <v>-325492</v>
      </c>
      <c r="H60" s="27">
        <v>113864</v>
      </c>
      <c r="I60" s="27">
        <v>66942</v>
      </c>
      <c r="J60" s="27">
        <v>36963.54</v>
      </c>
      <c r="K60" s="27">
        <v>101524</v>
      </c>
      <c r="L60" s="27">
        <v>621046</v>
      </c>
      <c r="M60" s="27">
        <v>378934</v>
      </c>
      <c r="N60" s="27">
        <v>242717.7</v>
      </c>
      <c r="O60" s="239">
        <f>SUM(C60:N60)/11</f>
        <v>59104.749090909092</v>
      </c>
      <c r="P60" s="239"/>
    </row>
    <row r="61" spans="1:17" s="240" customFormat="1" ht="12.95" customHeight="1">
      <c r="A61" s="262"/>
      <c r="B61" s="238" t="s">
        <v>220</v>
      </c>
      <c r="C61" s="27">
        <v>-368828</v>
      </c>
      <c r="D61" s="27">
        <v>-160444</v>
      </c>
      <c r="E61" s="27">
        <v>-253714</v>
      </c>
      <c r="F61" s="27">
        <v>-289027</v>
      </c>
      <c r="G61" s="27">
        <v>0</v>
      </c>
      <c r="H61" s="27">
        <v>0</v>
      </c>
      <c r="I61" s="27">
        <v>-99590</v>
      </c>
      <c r="J61" s="27">
        <v>-335262</v>
      </c>
      <c r="K61" s="27">
        <v>0</v>
      </c>
      <c r="L61" s="27">
        <v>-133390</v>
      </c>
      <c r="M61" s="27">
        <v>0</v>
      </c>
      <c r="N61" s="27">
        <v>0</v>
      </c>
      <c r="O61" s="239"/>
      <c r="P61" s="239"/>
    </row>
    <row r="62" spans="1:17" s="60" customFormat="1" ht="12.95" customHeight="1">
      <c r="A62" s="262"/>
      <c r="B62" s="238" t="s">
        <v>43</v>
      </c>
      <c r="C62" s="27">
        <v>0</v>
      </c>
      <c r="D62" s="27">
        <v>0</v>
      </c>
      <c r="E62" s="27">
        <v>0</v>
      </c>
      <c r="F62" s="27">
        <v>2971485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108">
        <f>MAX(C60:N60)</f>
        <v>621046</v>
      </c>
      <c r="P62" s="108"/>
    </row>
    <row r="63" spans="1:17" s="60" customFormat="1" ht="12.95" customHeight="1">
      <c r="A63" s="262"/>
      <c r="B63" s="238" t="s">
        <v>44</v>
      </c>
      <c r="C63" s="27">
        <v>785861</v>
      </c>
      <c r="D63" s="27">
        <v>1471312</v>
      </c>
      <c r="E63" s="27">
        <v>485932</v>
      </c>
      <c r="F63" s="27">
        <v>258369</v>
      </c>
      <c r="G63" s="27">
        <v>3000000</v>
      </c>
      <c r="H63" s="27">
        <v>8753</v>
      </c>
      <c r="I63" s="27">
        <v>1038115</v>
      </c>
      <c r="J63" s="27">
        <v>358070.59999999986</v>
      </c>
      <c r="K63" s="27">
        <v>2340568</v>
      </c>
      <c r="L63" s="27">
        <v>678004</v>
      </c>
      <c r="M63" s="27">
        <v>69157</v>
      </c>
      <c r="N63" s="27">
        <v>976855.85999999987</v>
      </c>
      <c r="O63" s="108">
        <f>MIN(C60:N60)</f>
        <v>-1022994</v>
      </c>
      <c r="P63" s="108"/>
    </row>
    <row r="64" spans="1:17" s="33" customFormat="1" ht="12.95" customHeight="1">
      <c r="A64" s="257"/>
      <c r="B64" s="52" t="s">
        <v>46</v>
      </c>
      <c r="C64" s="32">
        <f>SUM(C60:C63)</f>
        <v>590645</v>
      </c>
      <c r="D64" s="32">
        <f t="shared" ref="D64:N64" si="10">SUM(D60:D63)</f>
        <v>1545670</v>
      </c>
      <c r="E64" s="32">
        <f t="shared" si="10"/>
        <v>260451</v>
      </c>
      <c r="F64" s="32">
        <f t="shared" si="10"/>
        <v>1917833</v>
      </c>
      <c r="G64" s="32">
        <f t="shared" si="10"/>
        <v>2674508</v>
      </c>
      <c r="H64" s="32">
        <f t="shared" si="10"/>
        <v>122617</v>
      </c>
      <c r="I64" s="32">
        <f t="shared" si="10"/>
        <v>1005467</v>
      </c>
      <c r="J64" s="32">
        <f t="shared" si="10"/>
        <v>59772.139999999839</v>
      </c>
      <c r="K64" s="32">
        <f t="shared" si="10"/>
        <v>2442092</v>
      </c>
      <c r="L64" s="32">
        <f t="shared" si="10"/>
        <v>1165660</v>
      </c>
      <c r="M64" s="32">
        <f t="shared" si="10"/>
        <v>448091</v>
      </c>
      <c r="N64" s="32">
        <f t="shared" si="10"/>
        <v>1219573.5599999998</v>
      </c>
    </row>
    <row r="65" spans="1:256" s="56" customFormat="1" ht="12.95" customHeight="1">
      <c r="A65" s="263" t="s">
        <v>87</v>
      </c>
      <c r="B65" s="224"/>
      <c r="C65" s="264">
        <f t="shared" ref="C65:K65" si="11">C60/(C51)</f>
        <v>0.33668247180770089</v>
      </c>
      <c r="D65" s="264">
        <f t="shared" si="11"/>
        <v>0.30406101888062986</v>
      </c>
      <c r="E65" s="264">
        <f t="shared" si="11"/>
        <v>0.22886673151750972</v>
      </c>
      <c r="F65" s="264">
        <f t="shared" si="11"/>
        <v>-3.4192233003218702</v>
      </c>
      <c r="G65" s="264">
        <f t="shared" si="11"/>
        <v>-2.8274394322396823</v>
      </c>
      <c r="H65" s="264">
        <f t="shared" si="11"/>
        <v>0.17065026467396843</v>
      </c>
      <c r="I65" s="264">
        <f t="shared" si="11"/>
        <v>0.17940087151808159</v>
      </c>
      <c r="J65" s="264">
        <f t="shared" ref="J65" si="12">J60/(J51)</f>
        <v>0.10344979005426085</v>
      </c>
      <c r="K65" s="264">
        <f t="shared" si="11"/>
        <v>0.17202063759668579</v>
      </c>
      <c r="L65" s="264">
        <f>L60/(L51)</f>
        <v>1.2599045302486556</v>
      </c>
      <c r="M65" s="264">
        <f>M60/(M51)</f>
        <v>0.78177466938994455</v>
      </c>
      <c r="N65" s="264">
        <f>N60/(N51)</f>
        <v>0.48138120747068197</v>
      </c>
      <c r="O65" s="55">
        <f>SUM(C65:N65)/11</f>
        <v>-0.20258823085485764</v>
      </c>
      <c r="P65" s="55"/>
    </row>
    <row r="66" spans="1:256" s="60" customFormat="1" hidden="1">
      <c r="A66" s="222"/>
      <c r="B66" s="62" t="s">
        <v>88</v>
      </c>
      <c r="C66" s="94">
        <f t="shared" ref="C66:N66" si="13">+C9+C11+C12+C13+C31-C51-C53-C64-C54</f>
        <v>0</v>
      </c>
      <c r="D66" s="94">
        <f t="shared" si="13"/>
        <v>-1</v>
      </c>
      <c r="E66" s="94">
        <f t="shared" si="13"/>
        <v>0</v>
      </c>
      <c r="F66" s="94">
        <f t="shared" si="13"/>
        <v>0</v>
      </c>
      <c r="G66" s="94">
        <f t="shared" ref="G66" si="14">+G9+G11+G12+G13+G31-G51-G53-G64-G54</f>
        <v>-1</v>
      </c>
      <c r="H66" s="94">
        <f t="shared" si="13"/>
        <v>0</v>
      </c>
      <c r="I66" s="94">
        <f t="shared" si="13"/>
        <v>1</v>
      </c>
      <c r="J66" s="94">
        <f t="shared" si="13"/>
        <v>0</v>
      </c>
      <c r="K66" s="94">
        <f t="shared" si="13"/>
        <v>0</v>
      </c>
      <c r="L66" s="94">
        <f t="shared" si="13"/>
        <v>-10</v>
      </c>
      <c r="M66" s="94">
        <f t="shared" si="13"/>
        <v>-1</v>
      </c>
      <c r="N66" s="58">
        <f t="shared" si="13"/>
        <v>-0.34999999962747097</v>
      </c>
      <c r="O66" s="227">
        <f>MAX(C65:N65)</f>
        <v>1.2599045302486556</v>
      </c>
      <c r="P66" s="227"/>
    </row>
    <row r="67" spans="1:256" s="60" customFormat="1" hidden="1">
      <c r="A67" s="234"/>
      <c r="B67" s="234"/>
      <c r="C67" s="169">
        <f t="shared" ref="C67:N67" si="15">+C9+C58-C64</f>
        <v>0</v>
      </c>
      <c r="D67" s="169">
        <f t="shared" si="15"/>
        <v>-1</v>
      </c>
      <c r="E67" s="169">
        <f t="shared" si="15"/>
        <v>0</v>
      </c>
      <c r="F67" s="58">
        <f t="shared" si="15"/>
        <v>0</v>
      </c>
      <c r="G67" s="58">
        <f t="shared" si="15"/>
        <v>-1</v>
      </c>
      <c r="H67" s="58">
        <f t="shared" si="15"/>
        <v>0</v>
      </c>
      <c r="I67" s="58">
        <f t="shared" si="15"/>
        <v>1</v>
      </c>
      <c r="J67" s="58">
        <f t="shared" si="15"/>
        <v>0</v>
      </c>
      <c r="K67" s="58">
        <f t="shared" si="15"/>
        <v>0</v>
      </c>
      <c r="L67" s="58">
        <f t="shared" si="15"/>
        <v>-10</v>
      </c>
      <c r="M67" s="58">
        <f t="shared" si="15"/>
        <v>-1</v>
      </c>
      <c r="N67" s="58">
        <f t="shared" si="15"/>
        <v>-0.34999999962747097</v>
      </c>
      <c r="O67" s="227"/>
      <c r="P67" s="227"/>
    </row>
    <row r="68" spans="1:256" ht="12.95" customHeight="1">
      <c r="A68" s="234"/>
      <c r="B68" s="234"/>
      <c r="C68" s="169"/>
      <c r="D68" s="169"/>
      <c r="E68" s="169"/>
      <c r="F68" s="58"/>
      <c r="G68" s="58"/>
      <c r="H68" s="58"/>
      <c r="I68" s="58"/>
      <c r="J68" s="58"/>
      <c r="K68" s="58"/>
      <c r="L68" s="58"/>
      <c r="M68" s="58"/>
      <c r="N68" s="248"/>
      <c r="O68" s="59"/>
      <c r="P68" s="59"/>
    </row>
    <row r="69" spans="1:256" ht="12.95" customHeight="1">
      <c r="A69" s="213" t="s">
        <v>199</v>
      </c>
      <c r="B69" s="63"/>
      <c r="C69" s="63"/>
      <c r="D69" s="63"/>
      <c r="E69" s="217"/>
      <c r="F69" s="62"/>
      <c r="G69" s="62"/>
      <c r="H69" s="62"/>
      <c r="I69" s="62"/>
      <c r="J69" s="62"/>
      <c r="K69" s="62"/>
      <c r="L69" s="62"/>
      <c r="M69" s="62"/>
      <c r="N69" s="70"/>
    </row>
    <row r="70" spans="1:256" ht="12.95" customHeight="1">
      <c r="A70" s="210" t="s">
        <v>200</v>
      </c>
      <c r="B70" s="63"/>
      <c r="C70" s="63"/>
      <c r="D70" s="63"/>
      <c r="E70" s="217"/>
      <c r="F70" s="62"/>
      <c r="G70" s="62"/>
      <c r="H70" s="62"/>
      <c r="I70" s="62"/>
      <c r="J70" s="62"/>
      <c r="K70" s="62"/>
      <c r="L70" s="62"/>
      <c r="M70" s="62"/>
      <c r="N70" s="70"/>
    </row>
    <row r="71" spans="1:256" ht="12.95" customHeight="1">
      <c r="A71" s="211" t="s">
        <v>89</v>
      </c>
      <c r="B71" s="63"/>
      <c r="C71" s="63"/>
      <c r="D71" s="63"/>
      <c r="E71" s="217"/>
      <c r="F71" s="62"/>
      <c r="G71" s="62"/>
      <c r="H71" s="62"/>
      <c r="I71" s="62"/>
      <c r="J71" s="62"/>
      <c r="K71" s="62"/>
      <c r="L71" s="62"/>
      <c r="M71" s="62"/>
      <c r="N71" s="70"/>
    </row>
    <row r="72" spans="1:256" ht="12.95" customHeight="1">
      <c r="A72" s="212"/>
      <c r="B72" s="63"/>
      <c r="C72" s="63"/>
      <c r="D72" s="63"/>
      <c r="E72" s="217"/>
      <c r="F72" s="62"/>
      <c r="G72" s="62"/>
      <c r="H72" s="62"/>
      <c r="I72" s="62"/>
      <c r="J72" s="62"/>
      <c r="K72" s="62"/>
      <c r="L72" s="62"/>
      <c r="M72" s="62"/>
      <c r="N72" s="70"/>
    </row>
    <row r="73" spans="1:256" ht="12.95" customHeight="1">
      <c r="A73" s="210" t="s">
        <v>201</v>
      </c>
      <c r="B73" s="63"/>
      <c r="C73" s="63"/>
      <c r="D73" s="63"/>
      <c r="E73" s="217"/>
      <c r="F73" s="62"/>
      <c r="G73" s="62"/>
      <c r="H73" s="62"/>
      <c r="I73" s="62"/>
      <c r="J73" s="62"/>
      <c r="K73" s="62"/>
      <c r="L73" s="62"/>
      <c r="M73" s="62"/>
      <c r="N73" s="70"/>
    </row>
    <row r="74" spans="1:256" ht="12.95" customHeight="1">
      <c r="A74" s="210" t="s">
        <v>90</v>
      </c>
      <c r="B74" s="63"/>
      <c r="C74" s="63"/>
      <c r="D74" s="63"/>
      <c r="E74" s="235"/>
      <c r="F74" s="70"/>
      <c r="G74" s="70"/>
      <c r="H74" s="62"/>
      <c r="I74" s="70"/>
      <c r="J74" s="62"/>
      <c r="K74" s="62"/>
      <c r="L74" s="62"/>
      <c r="M74" s="62"/>
      <c r="N74" s="70"/>
      <c r="Q74" s="355"/>
      <c r="R74" s="355"/>
      <c r="S74" s="355"/>
      <c r="T74" s="355"/>
      <c r="U74" s="355"/>
      <c r="V74" s="355"/>
      <c r="W74" s="355"/>
      <c r="X74" s="355"/>
      <c r="Y74" s="355"/>
      <c r="Z74" s="355"/>
      <c r="AA74" s="355"/>
      <c r="AB74" s="355"/>
      <c r="AC74" s="355"/>
      <c r="AD74" s="355"/>
      <c r="AE74" s="355"/>
      <c r="AF74" s="355"/>
      <c r="AG74" s="355"/>
      <c r="AH74" s="355"/>
      <c r="AI74" s="355"/>
      <c r="AJ74" s="355"/>
      <c r="AK74" s="355"/>
      <c r="AL74" s="355"/>
      <c r="AM74" s="355"/>
      <c r="AN74" s="355"/>
      <c r="AO74" s="355"/>
      <c r="AP74" s="355"/>
      <c r="AQ74" s="355"/>
      <c r="AR74" s="355"/>
      <c r="AS74" s="355"/>
      <c r="AT74" s="355"/>
      <c r="AU74" s="355"/>
      <c r="AV74" s="355"/>
      <c r="AW74" s="355"/>
      <c r="AX74" s="355"/>
      <c r="AY74" s="355"/>
      <c r="AZ74" s="355"/>
      <c r="BA74" s="355"/>
      <c r="BB74" s="355"/>
      <c r="BC74" s="355"/>
      <c r="BD74" s="355"/>
      <c r="BE74" s="355"/>
      <c r="BF74" s="355"/>
      <c r="BG74" s="355"/>
      <c r="BH74" s="355"/>
      <c r="BI74" s="355"/>
      <c r="BJ74" s="355"/>
      <c r="BK74" s="355"/>
      <c r="BL74" s="355"/>
      <c r="BM74" s="355"/>
      <c r="BN74" s="355"/>
      <c r="BO74" s="355"/>
      <c r="BP74" s="355"/>
      <c r="BQ74" s="355"/>
      <c r="BR74" s="355"/>
      <c r="BS74" s="355"/>
      <c r="BT74" s="355"/>
      <c r="BU74" s="355"/>
      <c r="BV74" s="355"/>
      <c r="BW74" s="355"/>
      <c r="BX74" s="355"/>
      <c r="BY74" s="355"/>
      <c r="BZ74" s="355"/>
      <c r="CA74" s="355"/>
      <c r="CB74" s="355"/>
      <c r="CC74" s="355"/>
      <c r="CD74" s="355"/>
      <c r="CE74" s="355"/>
      <c r="CF74" s="355"/>
      <c r="CG74" s="355"/>
      <c r="CH74" s="355"/>
      <c r="CI74" s="355"/>
      <c r="CJ74" s="355"/>
      <c r="CK74" s="355"/>
      <c r="CL74" s="355"/>
      <c r="CM74" s="355"/>
      <c r="CN74" s="355"/>
      <c r="CO74" s="355"/>
      <c r="CP74" s="355"/>
      <c r="CQ74" s="355"/>
      <c r="CR74" s="355"/>
      <c r="CS74" s="355"/>
      <c r="CT74" s="355"/>
      <c r="CU74" s="355"/>
      <c r="CV74" s="355"/>
      <c r="CW74" s="355"/>
      <c r="CX74" s="355"/>
      <c r="CY74" s="355"/>
      <c r="CZ74" s="355"/>
      <c r="DA74" s="355"/>
      <c r="DB74" s="355"/>
      <c r="DC74" s="355"/>
      <c r="DD74" s="355"/>
      <c r="DE74" s="355"/>
      <c r="DF74" s="355"/>
      <c r="DG74" s="355"/>
      <c r="DH74" s="355"/>
      <c r="DI74" s="355"/>
      <c r="DJ74" s="355"/>
      <c r="DK74" s="355"/>
      <c r="DL74" s="355"/>
      <c r="DM74" s="355"/>
      <c r="DN74" s="355"/>
      <c r="DO74" s="355"/>
      <c r="DP74" s="355"/>
      <c r="DQ74" s="355"/>
      <c r="DR74" s="355"/>
      <c r="DS74" s="355"/>
      <c r="DT74" s="355"/>
      <c r="DU74" s="355"/>
      <c r="DV74" s="355"/>
      <c r="DW74" s="355"/>
      <c r="DX74" s="355"/>
      <c r="DY74" s="355"/>
      <c r="DZ74" s="355"/>
      <c r="EA74" s="355"/>
      <c r="EB74" s="355"/>
      <c r="EC74" s="355"/>
      <c r="ED74" s="355"/>
      <c r="EE74" s="355"/>
      <c r="EF74" s="355"/>
      <c r="EG74" s="355"/>
      <c r="EH74" s="355"/>
      <c r="EI74" s="355"/>
      <c r="EJ74" s="355"/>
      <c r="EK74" s="355"/>
      <c r="EL74" s="355"/>
      <c r="EM74" s="355"/>
      <c r="EN74" s="355"/>
      <c r="EO74" s="355"/>
      <c r="EP74" s="355"/>
      <c r="EQ74" s="355"/>
      <c r="ER74" s="355"/>
      <c r="ES74" s="355"/>
      <c r="ET74" s="355"/>
      <c r="EU74" s="355"/>
      <c r="EV74" s="355"/>
      <c r="EW74" s="355"/>
      <c r="EX74" s="355"/>
      <c r="EY74" s="355"/>
      <c r="EZ74" s="355"/>
      <c r="FA74" s="355"/>
      <c r="FB74" s="355"/>
      <c r="FC74" s="355"/>
      <c r="FD74" s="355"/>
      <c r="FE74" s="355"/>
      <c r="FF74" s="355"/>
      <c r="FG74" s="355"/>
      <c r="FH74" s="355"/>
      <c r="FI74" s="355"/>
      <c r="FJ74" s="355"/>
      <c r="FK74" s="355"/>
      <c r="FL74" s="355"/>
      <c r="FM74" s="355"/>
      <c r="FN74" s="355"/>
      <c r="FO74" s="355"/>
      <c r="FP74" s="355"/>
      <c r="FQ74" s="355"/>
      <c r="FR74" s="355"/>
      <c r="FS74" s="355"/>
      <c r="FT74" s="355"/>
      <c r="FU74" s="355"/>
      <c r="FV74" s="355"/>
      <c r="FW74" s="355"/>
      <c r="FX74" s="355"/>
      <c r="FY74" s="355"/>
      <c r="FZ74" s="355"/>
      <c r="GA74" s="355"/>
      <c r="GB74" s="355"/>
      <c r="GC74" s="355"/>
      <c r="GD74" s="355"/>
      <c r="GE74" s="355"/>
      <c r="GF74" s="355"/>
      <c r="GG74" s="355"/>
      <c r="GH74" s="355"/>
      <c r="GI74" s="355"/>
      <c r="GJ74" s="355"/>
      <c r="GK74" s="355"/>
      <c r="GL74" s="355"/>
      <c r="GM74" s="355"/>
      <c r="GN74" s="355"/>
      <c r="GO74" s="355"/>
      <c r="GP74" s="355"/>
      <c r="GQ74" s="355"/>
      <c r="GR74" s="355"/>
      <c r="GS74" s="355"/>
      <c r="GT74" s="355"/>
      <c r="GU74" s="355"/>
      <c r="GV74" s="355"/>
      <c r="GW74" s="355"/>
      <c r="GX74" s="355"/>
      <c r="GY74" s="355"/>
      <c r="GZ74" s="355"/>
      <c r="HA74" s="355"/>
      <c r="HB74" s="355"/>
      <c r="HC74" s="355"/>
      <c r="HD74" s="355"/>
      <c r="HE74" s="355"/>
      <c r="HF74" s="355"/>
      <c r="HG74" s="355"/>
      <c r="HH74" s="355"/>
      <c r="HI74" s="355"/>
      <c r="HJ74" s="355"/>
      <c r="HK74" s="355"/>
      <c r="HL74" s="355"/>
      <c r="HM74" s="355"/>
      <c r="HN74" s="355"/>
      <c r="HO74" s="355"/>
      <c r="HP74" s="355"/>
      <c r="HQ74" s="355"/>
      <c r="HR74" s="355"/>
      <c r="HS74" s="355"/>
      <c r="HT74" s="355"/>
      <c r="HU74" s="355"/>
      <c r="HV74" s="355"/>
      <c r="HW74" s="355"/>
      <c r="HX74" s="355"/>
      <c r="HY74" s="355"/>
      <c r="HZ74" s="355"/>
      <c r="IA74" s="355"/>
      <c r="IB74" s="355"/>
      <c r="IC74" s="355"/>
      <c r="ID74" s="355"/>
      <c r="IE74" s="355"/>
      <c r="IF74" s="355"/>
      <c r="IG74" s="355"/>
      <c r="IH74" s="355"/>
      <c r="II74" s="355"/>
      <c r="IJ74" s="355"/>
      <c r="IK74" s="355"/>
      <c r="IL74" s="355"/>
      <c r="IM74" s="355"/>
      <c r="IN74" s="355"/>
      <c r="IO74" s="355"/>
      <c r="IP74" s="355"/>
      <c r="IQ74" s="355"/>
      <c r="IR74" s="355"/>
      <c r="IS74" s="355"/>
      <c r="IT74" s="355"/>
      <c r="IU74" s="355"/>
      <c r="IV74" s="355"/>
    </row>
    <row r="75" spans="1:256" ht="12.95" customHeight="1">
      <c r="A75" s="210" t="s">
        <v>91</v>
      </c>
      <c r="B75" s="236"/>
      <c r="C75" s="237"/>
      <c r="D75" s="237"/>
      <c r="E75" s="235"/>
      <c r="F75" s="70"/>
      <c r="G75" s="70"/>
      <c r="H75" s="62"/>
      <c r="I75" s="70"/>
      <c r="J75" s="62"/>
      <c r="K75" s="62"/>
      <c r="L75" s="62"/>
      <c r="M75" s="62"/>
      <c r="N75" s="70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  <c r="DO75" s="61"/>
      <c r="DP75" s="61"/>
      <c r="DQ75" s="61"/>
      <c r="DR75" s="61"/>
      <c r="DS75" s="61"/>
      <c r="DT75" s="61"/>
      <c r="DU75" s="61"/>
      <c r="DV75" s="61"/>
      <c r="DW75" s="61"/>
      <c r="DX75" s="61"/>
      <c r="DY75" s="61"/>
      <c r="DZ75" s="61"/>
      <c r="EA75" s="61"/>
      <c r="EB75" s="61"/>
      <c r="EC75" s="61"/>
      <c r="ED75" s="61"/>
      <c r="EE75" s="61"/>
      <c r="EF75" s="61"/>
      <c r="EG75" s="61"/>
      <c r="EH75" s="61"/>
      <c r="EI75" s="61"/>
      <c r="EJ75" s="61"/>
      <c r="EK75" s="61"/>
      <c r="EL75" s="61"/>
      <c r="EM75" s="61"/>
      <c r="EN75" s="61"/>
      <c r="EO75" s="61"/>
      <c r="EP75" s="61"/>
      <c r="EQ75" s="61"/>
      <c r="ER75" s="61"/>
      <c r="ES75" s="61"/>
      <c r="ET75" s="61"/>
      <c r="EU75" s="61"/>
      <c r="EV75" s="61"/>
      <c r="EW75" s="61"/>
      <c r="EX75" s="61"/>
      <c r="EY75" s="61"/>
      <c r="EZ75" s="61"/>
      <c r="FA75" s="61"/>
      <c r="FB75" s="61"/>
      <c r="FC75" s="61"/>
      <c r="FD75" s="61"/>
      <c r="FE75" s="61"/>
      <c r="FF75" s="61"/>
      <c r="FG75" s="61"/>
      <c r="FH75" s="61"/>
      <c r="FI75" s="61"/>
      <c r="FJ75" s="61"/>
      <c r="FK75" s="61"/>
      <c r="FL75" s="61"/>
      <c r="FM75" s="61"/>
      <c r="FN75" s="61"/>
      <c r="FO75" s="61"/>
      <c r="FP75" s="61"/>
      <c r="FQ75" s="61"/>
      <c r="FR75" s="61"/>
      <c r="FS75" s="61"/>
      <c r="FT75" s="61"/>
      <c r="FU75" s="61"/>
      <c r="FV75" s="61"/>
      <c r="FW75" s="61"/>
      <c r="FX75" s="61"/>
      <c r="FY75" s="61"/>
      <c r="FZ75" s="61"/>
      <c r="GA75" s="61"/>
      <c r="GB75" s="61"/>
      <c r="GC75" s="61"/>
      <c r="GD75" s="61"/>
      <c r="GE75" s="61"/>
      <c r="GF75" s="61"/>
      <c r="GG75" s="61"/>
      <c r="GH75" s="61"/>
      <c r="GI75" s="61"/>
      <c r="GJ75" s="61"/>
      <c r="GK75" s="61"/>
      <c r="GL75" s="61"/>
      <c r="GM75" s="61"/>
      <c r="GN75" s="61"/>
      <c r="GO75" s="61"/>
      <c r="GP75" s="61"/>
      <c r="GQ75" s="61"/>
      <c r="GR75" s="61"/>
      <c r="GS75" s="61"/>
      <c r="GT75" s="61"/>
      <c r="GU75" s="61"/>
      <c r="GV75" s="61"/>
      <c r="GW75" s="61"/>
      <c r="GX75" s="61"/>
      <c r="GY75" s="61"/>
      <c r="GZ75" s="61"/>
      <c r="HA75" s="61"/>
      <c r="HB75" s="61"/>
      <c r="HC75" s="61"/>
      <c r="HD75" s="61"/>
      <c r="HE75" s="61"/>
      <c r="HF75" s="61"/>
      <c r="HG75" s="61"/>
      <c r="HH75" s="61"/>
      <c r="HI75" s="61"/>
      <c r="HJ75" s="61"/>
      <c r="HK75" s="61"/>
      <c r="HL75" s="61"/>
      <c r="HM75" s="61"/>
      <c r="HN75" s="61"/>
      <c r="HO75" s="61"/>
      <c r="HP75" s="61"/>
      <c r="HQ75" s="61"/>
      <c r="HR75" s="61"/>
      <c r="HS75" s="61"/>
      <c r="HT75" s="61"/>
      <c r="HU75" s="61"/>
      <c r="HV75" s="61"/>
      <c r="HW75" s="61"/>
      <c r="HX75" s="61"/>
      <c r="HY75" s="61"/>
      <c r="HZ75" s="61"/>
      <c r="IA75" s="61"/>
      <c r="IB75" s="61"/>
      <c r="IC75" s="61"/>
      <c r="ID75" s="61"/>
      <c r="IE75" s="61"/>
      <c r="IF75" s="61"/>
      <c r="IG75" s="61"/>
      <c r="IH75" s="61"/>
      <c r="II75" s="61"/>
      <c r="IJ75" s="61"/>
      <c r="IK75" s="61"/>
      <c r="IL75" s="61"/>
      <c r="IM75" s="61"/>
      <c r="IN75" s="61"/>
      <c r="IO75" s="61"/>
      <c r="IP75" s="61"/>
      <c r="IQ75" s="61"/>
      <c r="IR75" s="61"/>
      <c r="IS75" s="61"/>
      <c r="IT75" s="61"/>
      <c r="IU75" s="61"/>
      <c r="IV75" s="61"/>
    </row>
    <row r="76" spans="1:256" ht="12.95" customHeight="1">
      <c r="A76" s="63"/>
      <c r="B76" s="63"/>
      <c r="C76" s="63"/>
      <c r="D76" s="63"/>
      <c r="E76" s="235"/>
      <c r="F76" s="70"/>
      <c r="G76" s="70"/>
      <c r="H76" s="62"/>
      <c r="I76" s="70"/>
      <c r="J76" s="62"/>
      <c r="K76" s="62"/>
      <c r="L76" s="62"/>
      <c r="M76" s="62"/>
      <c r="N76" s="70"/>
      <c r="Q76" s="355"/>
      <c r="R76" s="355"/>
      <c r="S76" s="355"/>
      <c r="T76" s="355"/>
      <c r="U76" s="355"/>
      <c r="V76" s="355"/>
      <c r="W76" s="355"/>
      <c r="X76" s="355"/>
      <c r="Y76" s="355"/>
      <c r="Z76" s="355"/>
      <c r="AA76" s="355"/>
      <c r="AB76" s="355"/>
      <c r="AC76" s="355"/>
      <c r="AD76" s="355"/>
      <c r="AE76" s="355"/>
      <c r="AF76" s="355"/>
      <c r="AG76" s="355"/>
      <c r="AH76" s="355"/>
      <c r="AI76" s="355"/>
      <c r="AJ76" s="355"/>
      <c r="AK76" s="355"/>
      <c r="AL76" s="355"/>
      <c r="AM76" s="355"/>
      <c r="AN76" s="355"/>
      <c r="AO76" s="355"/>
      <c r="AP76" s="355"/>
      <c r="AQ76" s="355"/>
      <c r="AR76" s="355"/>
      <c r="AS76" s="355"/>
      <c r="AT76" s="355"/>
      <c r="AU76" s="355"/>
      <c r="AV76" s="355"/>
      <c r="AW76" s="355"/>
      <c r="AX76" s="355"/>
      <c r="AY76" s="355"/>
      <c r="AZ76" s="355"/>
      <c r="BA76" s="355"/>
      <c r="BB76" s="355"/>
      <c r="BC76" s="355"/>
      <c r="BD76" s="355"/>
      <c r="BE76" s="355"/>
      <c r="BF76" s="355"/>
      <c r="BG76" s="355"/>
      <c r="BH76" s="355"/>
      <c r="BI76" s="355"/>
      <c r="BJ76" s="355"/>
      <c r="BK76" s="355"/>
      <c r="BL76" s="355"/>
      <c r="BM76" s="355"/>
      <c r="BN76" s="355"/>
      <c r="BO76" s="355"/>
      <c r="BP76" s="355"/>
      <c r="BQ76" s="355"/>
      <c r="BR76" s="355"/>
      <c r="BS76" s="355"/>
      <c r="BT76" s="355"/>
      <c r="BU76" s="355"/>
      <c r="BV76" s="355"/>
      <c r="BW76" s="355"/>
      <c r="BX76" s="355"/>
      <c r="BY76" s="355"/>
      <c r="BZ76" s="355"/>
      <c r="CA76" s="355"/>
      <c r="CB76" s="355"/>
      <c r="CC76" s="355"/>
      <c r="CD76" s="355"/>
      <c r="CE76" s="355"/>
      <c r="CF76" s="355"/>
      <c r="CG76" s="355"/>
      <c r="CH76" s="355"/>
      <c r="CI76" s="355"/>
      <c r="CJ76" s="355"/>
      <c r="CK76" s="355"/>
      <c r="CL76" s="355"/>
      <c r="CM76" s="355"/>
      <c r="CN76" s="355"/>
      <c r="CO76" s="355"/>
      <c r="CP76" s="355"/>
      <c r="CQ76" s="355"/>
      <c r="CR76" s="355"/>
      <c r="CS76" s="355"/>
      <c r="CT76" s="355"/>
      <c r="CU76" s="355"/>
      <c r="CV76" s="355"/>
      <c r="CW76" s="355"/>
      <c r="CX76" s="355"/>
      <c r="CY76" s="355"/>
      <c r="CZ76" s="355"/>
      <c r="DA76" s="355"/>
      <c r="DB76" s="355"/>
      <c r="DC76" s="355"/>
      <c r="DD76" s="355"/>
      <c r="DE76" s="355"/>
      <c r="DF76" s="355"/>
      <c r="DG76" s="355"/>
      <c r="DH76" s="355"/>
      <c r="DI76" s="355"/>
      <c r="DJ76" s="355"/>
      <c r="DK76" s="355"/>
      <c r="DL76" s="355"/>
      <c r="DM76" s="355"/>
      <c r="DN76" s="355"/>
      <c r="DO76" s="355"/>
      <c r="DP76" s="355"/>
      <c r="DQ76" s="355"/>
      <c r="DR76" s="355"/>
      <c r="DS76" s="355"/>
      <c r="DT76" s="355"/>
      <c r="DU76" s="355"/>
      <c r="DV76" s="355"/>
      <c r="DW76" s="355"/>
      <c r="DX76" s="355"/>
      <c r="DY76" s="355"/>
      <c r="DZ76" s="355"/>
      <c r="EA76" s="355"/>
      <c r="EB76" s="355"/>
      <c r="EC76" s="355"/>
      <c r="ED76" s="355"/>
      <c r="EE76" s="355"/>
      <c r="EF76" s="355"/>
      <c r="EG76" s="355"/>
      <c r="EH76" s="355"/>
      <c r="EI76" s="355"/>
      <c r="EJ76" s="355"/>
      <c r="EK76" s="355"/>
      <c r="EL76" s="355"/>
      <c r="EM76" s="355"/>
      <c r="EN76" s="355"/>
      <c r="EO76" s="355"/>
      <c r="EP76" s="355"/>
      <c r="EQ76" s="355"/>
      <c r="ER76" s="355"/>
      <c r="ES76" s="355"/>
      <c r="ET76" s="355"/>
      <c r="EU76" s="355"/>
      <c r="EV76" s="355"/>
      <c r="EW76" s="355"/>
      <c r="EX76" s="355"/>
      <c r="EY76" s="355"/>
      <c r="EZ76" s="355"/>
      <c r="FA76" s="355"/>
      <c r="FB76" s="355"/>
      <c r="FC76" s="355"/>
      <c r="FD76" s="355"/>
      <c r="FE76" s="355"/>
      <c r="FF76" s="355"/>
      <c r="FG76" s="355"/>
      <c r="FH76" s="355"/>
      <c r="FI76" s="355"/>
      <c r="FJ76" s="355"/>
      <c r="FK76" s="355"/>
      <c r="FL76" s="355"/>
      <c r="FM76" s="355"/>
      <c r="FN76" s="355"/>
      <c r="FO76" s="355"/>
      <c r="FP76" s="355"/>
      <c r="FQ76" s="355"/>
      <c r="FR76" s="355"/>
      <c r="FS76" s="355"/>
      <c r="FT76" s="355"/>
      <c r="FU76" s="355"/>
      <c r="FV76" s="355"/>
      <c r="FW76" s="355"/>
      <c r="FX76" s="355"/>
      <c r="FY76" s="355"/>
      <c r="FZ76" s="355"/>
      <c r="GA76" s="355"/>
      <c r="GB76" s="355"/>
      <c r="GC76" s="355"/>
      <c r="GD76" s="355"/>
      <c r="GE76" s="355"/>
      <c r="GF76" s="355"/>
      <c r="GG76" s="355"/>
      <c r="GH76" s="355"/>
      <c r="GI76" s="355"/>
      <c r="GJ76" s="355"/>
      <c r="GK76" s="355"/>
      <c r="GL76" s="355"/>
      <c r="GM76" s="355"/>
      <c r="GN76" s="355"/>
      <c r="GO76" s="355"/>
      <c r="GP76" s="355"/>
      <c r="GQ76" s="355"/>
      <c r="GR76" s="355"/>
      <c r="GS76" s="355"/>
      <c r="GT76" s="355"/>
      <c r="GU76" s="355"/>
      <c r="GV76" s="355"/>
      <c r="GW76" s="355"/>
      <c r="GX76" s="355"/>
      <c r="GY76" s="355"/>
      <c r="GZ76" s="355"/>
      <c r="HA76" s="355"/>
      <c r="HB76" s="355"/>
      <c r="HC76" s="355"/>
      <c r="HD76" s="355"/>
      <c r="HE76" s="355"/>
      <c r="HF76" s="355"/>
      <c r="HG76" s="355"/>
      <c r="HH76" s="355"/>
      <c r="HI76" s="355"/>
      <c r="HJ76" s="355"/>
      <c r="HK76" s="355"/>
      <c r="HL76" s="355"/>
      <c r="HM76" s="355"/>
      <c r="HN76" s="355"/>
      <c r="HO76" s="355"/>
      <c r="HP76" s="355"/>
      <c r="HQ76" s="355"/>
      <c r="HR76" s="355"/>
      <c r="HS76" s="355"/>
      <c r="HT76" s="355"/>
      <c r="HU76" s="355"/>
      <c r="HV76" s="355"/>
      <c r="HW76" s="355"/>
      <c r="HX76" s="355"/>
      <c r="HY76" s="355"/>
      <c r="HZ76" s="355"/>
      <c r="IA76" s="355"/>
      <c r="IB76" s="355"/>
      <c r="IC76" s="355"/>
      <c r="ID76" s="355"/>
      <c r="IE76" s="355"/>
      <c r="IF76" s="355"/>
      <c r="IG76" s="355"/>
      <c r="IH76" s="355"/>
      <c r="II76" s="355"/>
      <c r="IJ76" s="355"/>
      <c r="IK76" s="355"/>
      <c r="IL76" s="355"/>
      <c r="IM76" s="355"/>
      <c r="IN76" s="355"/>
      <c r="IO76" s="355"/>
      <c r="IP76" s="355"/>
      <c r="IQ76" s="355"/>
      <c r="IR76" s="355"/>
      <c r="IS76" s="355"/>
      <c r="IT76" s="355"/>
      <c r="IU76" s="355"/>
      <c r="IV76" s="355"/>
    </row>
    <row r="77" spans="1:256">
      <c r="A77" s="356"/>
      <c r="B77" s="357"/>
      <c r="C77" s="265"/>
      <c r="D77" s="266"/>
      <c r="E77" s="266"/>
      <c r="F77" s="266"/>
      <c r="G77" s="266"/>
      <c r="H77" s="266"/>
      <c r="I77" s="266"/>
      <c r="J77" s="267"/>
      <c r="K77" s="267"/>
      <c r="L77" s="266"/>
      <c r="M77" s="266"/>
      <c r="N77" s="266"/>
    </row>
    <row r="78" spans="1:256" ht="77.25" customHeight="1">
      <c r="A78" s="358"/>
      <c r="B78" s="359"/>
      <c r="C78" s="251" t="str">
        <f t="shared" ref="C78:N78" si="16">C2</f>
        <v>10-A DAA, Tulelake-Butte Valley Fair</v>
      </c>
      <c r="D78" s="251" t="str">
        <f t="shared" si="16"/>
        <v>33rd DAA,      San Benito County Fair</v>
      </c>
      <c r="E78" s="251" t="str">
        <f t="shared" si="16"/>
        <v>34th DAA, Modoc-Last Frontier Fair</v>
      </c>
      <c r="F78" s="251" t="str">
        <f t="shared" si="16"/>
        <v>48th DAA, Schools Involvement Fair</v>
      </c>
      <c r="G78" s="251" t="str">
        <f t="shared" si="16"/>
        <v>51st DAA,       The Valley Fair</v>
      </c>
      <c r="H78" s="251" t="str">
        <f t="shared" si="16"/>
        <v>52nd DAA, Sacramento County Fair</v>
      </c>
      <c r="I78" s="251" t="str">
        <f t="shared" si="16"/>
        <v>53rd DAA, Desert Empire Fair</v>
      </c>
      <c r="J78" s="251" t="str">
        <f t="shared" si="16"/>
        <v>54th DAA, Colorado River Country Fair</v>
      </c>
      <c r="K78" s="251" t="str">
        <f t="shared" si="16"/>
        <v>Chowchilla- Madera County Fair</v>
      </c>
      <c r="L78" s="251" t="str">
        <f t="shared" si="16"/>
        <v>Mendocino County Fair</v>
      </c>
      <c r="M78" s="251" t="str">
        <f t="shared" si="16"/>
        <v>Inter-Mountain Fair</v>
      </c>
      <c r="N78" s="251" t="str">
        <f t="shared" si="16"/>
        <v>Trinity County Fair</v>
      </c>
    </row>
    <row r="79" spans="1:256" ht="13.5" customHeight="1">
      <c r="A79" s="254" t="s">
        <v>92</v>
      </c>
      <c r="B79" s="116"/>
      <c r="C79" s="37"/>
      <c r="D79" s="38"/>
      <c r="E79" s="38"/>
      <c r="F79" s="38"/>
      <c r="G79" s="38"/>
      <c r="H79" s="39"/>
      <c r="I79" s="38"/>
      <c r="J79" s="39"/>
      <c r="K79" s="39"/>
      <c r="L79" s="39"/>
      <c r="M79" s="39"/>
      <c r="N79" s="38"/>
    </row>
    <row r="80" spans="1:256" ht="13.5" customHeight="1">
      <c r="A80" s="255" t="s">
        <v>93</v>
      </c>
      <c r="B80" s="40"/>
      <c r="C80" s="64"/>
      <c r="D80" s="65"/>
      <c r="E80" s="65"/>
      <c r="F80" s="65"/>
      <c r="G80" s="65"/>
      <c r="H80" s="66"/>
      <c r="I80" s="65"/>
      <c r="J80" s="66"/>
      <c r="K80" s="66"/>
      <c r="L80" s="66"/>
      <c r="M80" s="66"/>
      <c r="N80" s="65"/>
    </row>
    <row r="81" spans="1:17" ht="13.5" customHeight="1">
      <c r="A81" s="260"/>
      <c r="B81" s="40" t="s">
        <v>94</v>
      </c>
      <c r="C81" s="29"/>
      <c r="D81" s="41"/>
      <c r="E81" s="41"/>
      <c r="F81" s="41"/>
      <c r="G81" s="41"/>
      <c r="H81" s="30"/>
      <c r="I81" s="41"/>
      <c r="J81" s="30"/>
      <c r="K81" s="30"/>
      <c r="L81" s="30"/>
      <c r="M81" s="30"/>
      <c r="N81" s="41"/>
    </row>
    <row r="82" spans="1:17" ht="13.5" customHeight="1">
      <c r="A82" s="260"/>
      <c r="B82" s="40" t="s">
        <v>95</v>
      </c>
      <c r="C82" s="23">
        <v>0</v>
      </c>
      <c r="D82" s="23">
        <v>103179</v>
      </c>
      <c r="E82" s="24">
        <v>0</v>
      </c>
      <c r="F82" s="24">
        <v>1948030</v>
      </c>
      <c r="G82" s="24">
        <v>2660586</v>
      </c>
      <c r="H82" s="25">
        <v>443722</v>
      </c>
      <c r="I82" s="24">
        <v>0</v>
      </c>
      <c r="J82" s="25">
        <v>0</v>
      </c>
      <c r="K82" s="25">
        <v>0</v>
      </c>
      <c r="L82" s="25">
        <v>0</v>
      </c>
      <c r="M82" s="25">
        <v>0</v>
      </c>
      <c r="N82" s="24">
        <v>0</v>
      </c>
      <c r="P82" s="67"/>
      <c r="Q82" s="67">
        <f t="shared" ref="Q82:Q91" si="17">SUM(C82:J82)</f>
        <v>5155517</v>
      </c>
    </row>
    <row r="83" spans="1:17" ht="13.5" customHeight="1">
      <c r="A83" s="260"/>
      <c r="B83" s="40" t="s">
        <v>96</v>
      </c>
      <c r="C83" s="29">
        <v>206915</v>
      </c>
      <c r="D83" s="29">
        <v>252601</v>
      </c>
      <c r="E83" s="41">
        <v>23270</v>
      </c>
      <c r="F83" s="41">
        <f>10773+200</f>
        <v>10973</v>
      </c>
      <c r="G83" s="41">
        <v>9827</v>
      </c>
      <c r="H83" s="30">
        <v>308280</v>
      </c>
      <c r="I83" s="41">
        <v>76262</v>
      </c>
      <c r="J83" s="30">
        <v>47061.9</v>
      </c>
      <c r="K83" s="30">
        <v>293842</v>
      </c>
      <c r="L83" s="30">
        <v>650774</v>
      </c>
      <c r="M83" s="30">
        <v>467969</v>
      </c>
      <c r="N83" s="41">
        <v>257344.37</v>
      </c>
      <c r="P83" s="67"/>
      <c r="Q83" s="67">
        <f t="shared" si="17"/>
        <v>935189.9</v>
      </c>
    </row>
    <row r="84" spans="1:17" ht="13.5" customHeight="1">
      <c r="A84" s="260"/>
      <c r="B84" s="40" t="s">
        <v>97</v>
      </c>
      <c r="C84" s="29">
        <v>242</v>
      </c>
      <c r="D84" s="41">
        <f>23959+12990</f>
        <v>36949</v>
      </c>
      <c r="E84" s="41">
        <v>0</v>
      </c>
      <c r="F84" s="41">
        <v>7161</v>
      </c>
      <c r="G84" s="41">
        <v>4532</v>
      </c>
      <c r="H84" s="30">
        <v>25939</v>
      </c>
      <c r="I84" s="41">
        <f>6979+1918</f>
        <v>8897</v>
      </c>
      <c r="J84" s="30">
        <v>28507.449999999997</v>
      </c>
      <c r="K84" s="30">
        <v>284</v>
      </c>
      <c r="L84" s="30">
        <v>30792</v>
      </c>
      <c r="M84" s="30">
        <v>2182</v>
      </c>
      <c r="N84" s="41">
        <v>33308.93</v>
      </c>
      <c r="P84" s="67"/>
      <c r="Q84" s="67">
        <f t="shared" si="17"/>
        <v>112227.45</v>
      </c>
    </row>
    <row r="85" spans="1:17" ht="13.5" customHeight="1">
      <c r="A85" s="260"/>
      <c r="B85" s="40" t="s">
        <v>98</v>
      </c>
      <c r="C85" s="29">
        <v>0</v>
      </c>
      <c r="D85" s="41">
        <v>4628</v>
      </c>
      <c r="E85" s="41">
        <v>3049</v>
      </c>
      <c r="F85" s="41">
        <v>16700</v>
      </c>
      <c r="G85" s="41">
        <v>0</v>
      </c>
      <c r="H85" s="30">
        <v>0</v>
      </c>
      <c r="I85" s="41">
        <v>2811</v>
      </c>
      <c r="J85" s="30">
        <v>0</v>
      </c>
      <c r="K85" s="30">
        <v>1201</v>
      </c>
      <c r="L85" s="30">
        <v>0</v>
      </c>
      <c r="M85" s="30">
        <v>0</v>
      </c>
      <c r="N85" s="41">
        <v>0</v>
      </c>
      <c r="P85" s="67"/>
      <c r="Q85" s="67">
        <f t="shared" si="17"/>
        <v>27188</v>
      </c>
    </row>
    <row r="86" spans="1:17" ht="13.5" customHeight="1">
      <c r="A86" s="260"/>
      <c r="B86" s="40" t="s">
        <v>99</v>
      </c>
      <c r="C86" s="29">
        <v>0</v>
      </c>
      <c r="D86" s="41">
        <v>0</v>
      </c>
      <c r="E86" s="41">
        <v>0</v>
      </c>
      <c r="F86" s="41">
        <v>0</v>
      </c>
      <c r="G86" s="41">
        <v>0</v>
      </c>
      <c r="H86" s="30">
        <v>0</v>
      </c>
      <c r="I86" s="41">
        <v>0</v>
      </c>
      <c r="J86" s="30">
        <v>0</v>
      </c>
      <c r="K86" s="30">
        <v>0</v>
      </c>
      <c r="L86" s="30">
        <v>0</v>
      </c>
      <c r="M86" s="30">
        <v>0</v>
      </c>
      <c r="N86" s="41">
        <v>0</v>
      </c>
      <c r="P86" s="67"/>
      <c r="Q86" s="67">
        <f t="shared" si="17"/>
        <v>0</v>
      </c>
    </row>
    <row r="87" spans="1:17" ht="13.5" customHeight="1">
      <c r="A87" s="260"/>
      <c r="B87" s="40" t="s">
        <v>100</v>
      </c>
      <c r="C87" s="29">
        <v>0</v>
      </c>
      <c r="D87" s="41">
        <v>4540</v>
      </c>
      <c r="E87" s="41">
        <v>0</v>
      </c>
      <c r="F87" s="41">
        <v>0</v>
      </c>
      <c r="G87" s="41">
        <v>0</v>
      </c>
      <c r="H87" s="30">
        <v>0</v>
      </c>
      <c r="I87" s="41">
        <v>1170</v>
      </c>
      <c r="J87" s="30">
        <v>0</v>
      </c>
      <c r="K87" s="30">
        <v>129</v>
      </c>
      <c r="L87" s="30">
        <v>9244</v>
      </c>
      <c r="M87" s="30">
        <v>0</v>
      </c>
      <c r="N87" s="41">
        <v>38024.639999999999</v>
      </c>
      <c r="Q87" s="67">
        <f t="shared" si="17"/>
        <v>5710</v>
      </c>
    </row>
    <row r="88" spans="1:17" ht="13.5" customHeight="1">
      <c r="A88" s="260"/>
      <c r="B88" s="40" t="s">
        <v>101</v>
      </c>
      <c r="C88" s="29">
        <v>52888</v>
      </c>
      <c r="D88" s="41">
        <v>61442</v>
      </c>
      <c r="E88" s="41">
        <v>600</v>
      </c>
      <c r="F88" s="41">
        <v>0</v>
      </c>
      <c r="G88" s="41">
        <v>0</v>
      </c>
      <c r="H88" s="30">
        <v>0</v>
      </c>
      <c r="I88" s="41">
        <v>71375</v>
      </c>
      <c r="J88" s="30">
        <v>71241</v>
      </c>
      <c r="K88" s="30">
        <v>33347</v>
      </c>
      <c r="L88" s="30">
        <v>0</v>
      </c>
      <c r="M88" s="30">
        <v>0</v>
      </c>
      <c r="N88" s="41">
        <v>0</v>
      </c>
      <c r="Q88" s="67">
        <f t="shared" si="17"/>
        <v>257546</v>
      </c>
    </row>
    <row r="89" spans="1:17" ht="13.5" customHeight="1">
      <c r="A89" s="260"/>
      <c r="B89" s="40" t="s">
        <v>102</v>
      </c>
      <c r="C89" s="29">
        <v>2366592</v>
      </c>
      <c r="D89" s="41">
        <v>3494464</v>
      </c>
      <c r="E89" s="41">
        <v>1827040</v>
      </c>
      <c r="F89" s="41">
        <v>0</v>
      </c>
      <c r="G89" s="41">
        <v>0</v>
      </c>
      <c r="H89" s="30">
        <v>76731</v>
      </c>
      <c r="I89" s="41">
        <v>2214554</v>
      </c>
      <c r="J89" s="30">
        <v>2185401.67</v>
      </c>
      <c r="K89" s="30">
        <v>4434724</v>
      </c>
      <c r="L89" s="30">
        <v>0</v>
      </c>
      <c r="M89" s="30">
        <v>0</v>
      </c>
      <c r="N89" s="41">
        <v>0</v>
      </c>
      <c r="Q89" s="67">
        <f t="shared" si="17"/>
        <v>12164782.67</v>
      </c>
    </row>
    <row r="90" spans="1:17" ht="13.5" customHeight="1">
      <c r="A90" s="260"/>
      <c r="B90" s="40" t="s">
        <v>103</v>
      </c>
      <c r="C90" s="29">
        <v>200332</v>
      </c>
      <c r="D90" s="41">
        <v>78574</v>
      </c>
      <c r="E90" s="41">
        <v>107768</v>
      </c>
      <c r="F90" s="41">
        <v>18698</v>
      </c>
      <c r="G90" s="41">
        <v>0</v>
      </c>
      <c r="H90" s="30">
        <v>9726</v>
      </c>
      <c r="I90" s="41">
        <v>123355</v>
      </c>
      <c r="J90" s="30">
        <v>71643.5</v>
      </c>
      <c r="K90" s="30">
        <v>74867</v>
      </c>
      <c r="L90" s="30">
        <v>121459</v>
      </c>
      <c r="M90" s="30">
        <v>11167</v>
      </c>
      <c r="N90" s="41">
        <v>115724.57</v>
      </c>
      <c r="Q90" s="67">
        <f t="shared" si="17"/>
        <v>610096.5</v>
      </c>
    </row>
    <row r="91" spans="1:17" ht="13.5" customHeight="1">
      <c r="A91" s="260"/>
      <c r="B91" s="40" t="s">
        <v>104</v>
      </c>
      <c r="C91" s="29">
        <v>0</v>
      </c>
      <c r="D91" s="41">
        <v>0</v>
      </c>
      <c r="E91" s="41">
        <v>0</v>
      </c>
      <c r="F91" s="41">
        <v>484442</v>
      </c>
      <c r="G91" s="41">
        <v>0</v>
      </c>
      <c r="H91" s="30">
        <v>0</v>
      </c>
      <c r="I91" s="41">
        <v>686437</v>
      </c>
      <c r="J91" s="30">
        <v>0</v>
      </c>
      <c r="K91" s="30">
        <v>633251</v>
      </c>
      <c r="L91" s="30">
        <v>2602544</v>
      </c>
      <c r="M91" s="30">
        <v>296268</v>
      </c>
      <c r="N91" s="41">
        <v>2052609.98</v>
      </c>
      <c r="Q91" s="67">
        <f t="shared" si="17"/>
        <v>1170879</v>
      </c>
    </row>
    <row r="92" spans="1:17" ht="13.5" customHeight="1">
      <c r="A92" s="260"/>
      <c r="B92" s="40" t="s">
        <v>186</v>
      </c>
      <c r="C92" s="29">
        <v>0</v>
      </c>
      <c r="D92" s="41">
        <v>0</v>
      </c>
      <c r="E92" s="41">
        <v>0</v>
      </c>
      <c r="F92" s="41">
        <v>0</v>
      </c>
      <c r="G92" s="41">
        <v>0</v>
      </c>
      <c r="H92" s="30">
        <v>0</v>
      </c>
      <c r="I92" s="41">
        <v>0</v>
      </c>
      <c r="J92" s="30">
        <v>0</v>
      </c>
      <c r="K92" s="30">
        <v>0</v>
      </c>
      <c r="L92" s="30">
        <v>0</v>
      </c>
      <c r="M92" s="30">
        <v>0</v>
      </c>
      <c r="N92" s="41">
        <v>0</v>
      </c>
      <c r="Q92" s="67">
        <f>SUM(C92:N92)</f>
        <v>0</v>
      </c>
    </row>
    <row r="93" spans="1:17" ht="13.5" customHeight="1">
      <c r="A93" s="260"/>
      <c r="B93" s="40" t="s">
        <v>105</v>
      </c>
      <c r="C93" s="29">
        <f>-1633620-200332</f>
        <v>-1833952</v>
      </c>
      <c r="D93" s="41">
        <f>-2098181-69527</f>
        <v>-2167708</v>
      </c>
      <c r="E93" s="41">
        <f>-1341708-107768</f>
        <v>-1449476</v>
      </c>
      <c r="F93" s="41">
        <f>-18698-226073</f>
        <v>-244771</v>
      </c>
      <c r="G93" s="41">
        <v>0</v>
      </c>
      <c r="H93" s="30">
        <f>-76731-973</f>
        <v>-77704</v>
      </c>
      <c r="I93" s="41">
        <f>-1545106-123355-320337</f>
        <v>-1988798</v>
      </c>
      <c r="J93" s="30">
        <f>-1898572.07-71643.5</f>
        <v>-1970215.57</v>
      </c>
      <c r="K93" s="30">
        <f>-2390012-71567-189975</f>
        <v>-2651554</v>
      </c>
      <c r="L93" s="30">
        <f>-117959-1937285</f>
        <v>-2055244</v>
      </c>
      <c r="M93" s="30">
        <f>-1117-237161</f>
        <v>-238278</v>
      </c>
      <c r="N93" s="41">
        <f>-109289.84-1120213.49</f>
        <v>-1229503.33</v>
      </c>
      <c r="P93" s="31"/>
      <c r="Q93" s="31">
        <f>SUM(C87:J93)</f>
        <v>4476389.5999999996</v>
      </c>
    </row>
    <row r="94" spans="1:17" ht="13.5" customHeight="1">
      <c r="A94" s="260"/>
      <c r="B94" s="40" t="s">
        <v>106</v>
      </c>
      <c r="C94" s="29">
        <v>0</v>
      </c>
      <c r="D94" s="41">
        <v>0</v>
      </c>
      <c r="E94" s="41">
        <v>0</v>
      </c>
      <c r="F94" s="41">
        <v>0</v>
      </c>
      <c r="G94" s="41">
        <v>0</v>
      </c>
      <c r="H94" s="30">
        <v>0</v>
      </c>
      <c r="I94" s="41">
        <v>0</v>
      </c>
      <c r="J94" s="30">
        <v>0</v>
      </c>
      <c r="K94" s="30">
        <v>0</v>
      </c>
      <c r="L94" s="30">
        <v>0</v>
      </c>
      <c r="M94" s="30">
        <v>0</v>
      </c>
      <c r="N94" s="41">
        <v>0</v>
      </c>
      <c r="P94" s="31"/>
      <c r="Q94" s="31"/>
    </row>
    <row r="95" spans="1:17" s="33" customFormat="1" ht="13.5" customHeight="1">
      <c r="A95" s="268" t="s">
        <v>107</v>
      </c>
      <c r="B95" s="34"/>
      <c r="C95" s="35">
        <f>SUM(C81:C94)</f>
        <v>993017</v>
      </c>
      <c r="D95" s="35">
        <f t="shared" ref="D95:N95" si="18">SUM(D81:D94)</f>
        <v>1868669</v>
      </c>
      <c r="E95" s="35">
        <f t="shared" si="18"/>
        <v>512251</v>
      </c>
      <c r="F95" s="35">
        <f t="shared" si="18"/>
        <v>2241233</v>
      </c>
      <c r="G95" s="35">
        <f t="shared" si="18"/>
        <v>2674945</v>
      </c>
      <c r="H95" s="35">
        <f t="shared" si="18"/>
        <v>786694</v>
      </c>
      <c r="I95" s="35">
        <f t="shared" si="18"/>
        <v>1196063</v>
      </c>
      <c r="J95" s="35">
        <f t="shared" si="18"/>
        <v>433639.94999999995</v>
      </c>
      <c r="K95" s="35">
        <f t="shared" si="18"/>
        <v>2820091</v>
      </c>
      <c r="L95" s="35">
        <f t="shared" si="18"/>
        <v>1359569</v>
      </c>
      <c r="M95" s="35">
        <f t="shared" si="18"/>
        <v>539308</v>
      </c>
      <c r="N95" s="35">
        <f t="shared" si="18"/>
        <v>1267509.1600000001</v>
      </c>
      <c r="P95" s="45"/>
      <c r="Q95" s="226">
        <f>SUM(C95:J95)</f>
        <v>10706511.949999999</v>
      </c>
    </row>
    <row r="96" spans="1:17" s="33" customFormat="1" ht="13.5" customHeight="1">
      <c r="A96" s="268" t="s">
        <v>215</v>
      </c>
      <c r="B96" s="34"/>
      <c r="C96" s="35">
        <v>43514</v>
      </c>
      <c r="D96" s="35">
        <v>59188</v>
      </c>
      <c r="E96" s="35">
        <v>18399</v>
      </c>
      <c r="F96" s="35">
        <v>47633</v>
      </c>
      <c r="G96" s="35">
        <v>0</v>
      </c>
      <c r="H96" s="35">
        <v>0</v>
      </c>
      <c r="I96" s="35">
        <v>0</v>
      </c>
      <c r="J96" s="35">
        <v>12697</v>
      </c>
      <c r="K96" s="35">
        <v>0</v>
      </c>
      <c r="L96" s="35">
        <v>0</v>
      </c>
      <c r="M96" s="223">
        <v>0</v>
      </c>
      <c r="N96" s="35">
        <v>0</v>
      </c>
      <c r="P96" s="45"/>
      <c r="Q96" s="226">
        <f>SUM(C96:J96)</f>
        <v>181431</v>
      </c>
    </row>
    <row r="97" spans="1:17" s="56" customFormat="1" ht="13.5" customHeight="1">
      <c r="A97" s="263" t="s">
        <v>212</v>
      </c>
      <c r="B97" s="224"/>
      <c r="C97" s="225">
        <f>+C95+C96</f>
        <v>1036531</v>
      </c>
      <c r="D97" s="225">
        <f t="shared" ref="D97:N97" si="19">+D95+D96</f>
        <v>1927857</v>
      </c>
      <c r="E97" s="225">
        <f t="shared" si="19"/>
        <v>530650</v>
      </c>
      <c r="F97" s="225">
        <f t="shared" si="19"/>
        <v>2288866</v>
      </c>
      <c r="G97" s="225">
        <f t="shared" si="19"/>
        <v>2674945</v>
      </c>
      <c r="H97" s="225">
        <f t="shared" si="19"/>
        <v>786694</v>
      </c>
      <c r="I97" s="225">
        <f t="shared" si="19"/>
        <v>1196063</v>
      </c>
      <c r="J97" s="225">
        <f t="shared" si="19"/>
        <v>446336.94999999995</v>
      </c>
      <c r="K97" s="225">
        <f t="shared" si="19"/>
        <v>2820091</v>
      </c>
      <c r="L97" s="225">
        <f t="shared" si="19"/>
        <v>1359569</v>
      </c>
      <c r="M97" s="225">
        <f t="shared" si="19"/>
        <v>539308</v>
      </c>
      <c r="N97" s="225">
        <f t="shared" si="19"/>
        <v>1267509.1600000001</v>
      </c>
      <c r="P97" s="226"/>
      <c r="Q97" s="226">
        <f>SUM(C97:J97)</f>
        <v>10887942.949999999</v>
      </c>
    </row>
    <row r="98" spans="1:17" ht="13.5" customHeight="1">
      <c r="A98" s="255" t="s">
        <v>213</v>
      </c>
      <c r="B98" s="40"/>
      <c r="C98" s="64"/>
      <c r="D98" s="65"/>
      <c r="E98" s="65"/>
      <c r="F98" s="65"/>
      <c r="G98" s="65"/>
      <c r="H98" s="66"/>
      <c r="I98" s="65"/>
      <c r="J98" s="66"/>
      <c r="K98" s="66"/>
      <c r="L98" s="66"/>
      <c r="M98" s="66"/>
      <c r="N98" s="65"/>
    </row>
    <row r="99" spans="1:17" ht="13.5" customHeight="1">
      <c r="A99" s="260"/>
      <c r="B99" s="40" t="s">
        <v>108</v>
      </c>
      <c r="C99" s="29">
        <v>0</v>
      </c>
      <c r="D99" s="41">
        <v>0</v>
      </c>
      <c r="E99" s="41">
        <v>0</v>
      </c>
      <c r="F99" s="41">
        <v>0</v>
      </c>
      <c r="G99" s="41">
        <v>0</v>
      </c>
      <c r="H99" s="30">
        <v>0</v>
      </c>
      <c r="I99" s="41">
        <v>0</v>
      </c>
      <c r="J99" s="30">
        <v>0</v>
      </c>
      <c r="K99" s="30">
        <v>810</v>
      </c>
      <c r="L99" s="30">
        <v>529</v>
      </c>
      <c r="M99" s="30">
        <v>0</v>
      </c>
      <c r="N99" s="41">
        <v>0</v>
      </c>
      <c r="P99" s="67"/>
      <c r="Q99" s="67">
        <f t="shared" ref="Q99:Q110" si="20">SUM(C99:J99)</f>
        <v>0</v>
      </c>
    </row>
    <row r="100" spans="1:17" ht="13.5" customHeight="1">
      <c r="A100" s="260"/>
      <c r="B100" s="40" t="s">
        <v>109</v>
      </c>
      <c r="C100" s="29">
        <v>203</v>
      </c>
      <c r="D100" s="41">
        <f>28020+10386</f>
        <v>38406</v>
      </c>
      <c r="E100" s="41">
        <v>2573</v>
      </c>
      <c r="F100" s="41">
        <v>20417</v>
      </c>
      <c r="G100" s="41">
        <v>20516</v>
      </c>
      <c r="H100" s="30">
        <v>55106</v>
      </c>
      <c r="I100" s="41">
        <v>13441</v>
      </c>
      <c r="J100" s="30">
        <v>0</v>
      </c>
      <c r="K100" s="30">
        <v>17730</v>
      </c>
      <c r="L100" s="30">
        <v>3450</v>
      </c>
      <c r="M100" s="30">
        <v>15113</v>
      </c>
      <c r="N100" s="41">
        <v>-4064.7</v>
      </c>
      <c r="P100" s="67"/>
      <c r="Q100" s="67">
        <f t="shared" si="20"/>
        <v>150662</v>
      </c>
    </row>
    <row r="101" spans="1:17" ht="13.5" customHeight="1">
      <c r="A101" s="260"/>
      <c r="B101" s="40" t="s">
        <v>110</v>
      </c>
      <c r="C101" s="29">
        <v>6450</v>
      </c>
      <c r="D101" s="41">
        <v>4867</v>
      </c>
      <c r="E101" s="41">
        <v>214</v>
      </c>
      <c r="F101" s="41">
        <v>2414</v>
      </c>
      <c r="G101" s="41">
        <v>0</v>
      </c>
      <c r="H101" s="30">
        <v>7340</v>
      </c>
      <c r="I101" s="41">
        <v>0</v>
      </c>
      <c r="J101" s="30">
        <v>25797.66</v>
      </c>
      <c r="K101" s="30">
        <v>384</v>
      </c>
      <c r="L101" s="30">
        <v>765</v>
      </c>
      <c r="M101" s="30">
        <v>1464</v>
      </c>
      <c r="N101" s="41">
        <v>0</v>
      </c>
      <c r="P101" s="67"/>
      <c r="Q101" s="67">
        <f t="shared" si="20"/>
        <v>47082.66</v>
      </c>
    </row>
    <row r="102" spans="1:17" ht="13.5" customHeight="1">
      <c r="A102" s="260"/>
      <c r="B102" s="40" t="s">
        <v>111</v>
      </c>
      <c r="C102" s="29">
        <v>0</v>
      </c>
      <c r="D102" s="41">
        <v>6336</v>
      </c>
      <c r="E102" s="41">
        <v>0</v>
      </c>
      <c r="F102" s="41">
        <v>120</v>
      </c>
      <c r="G102" s="41">
        <v>0</v>
      </c>
      <c r="H102" s="30">
        <v>0</v>
      </c>
      <c r="I102" s="41">
        <v>2905</v>
      </c>
      <c r="J102" s="30">
        <v>0</v>
      </c>
      <c r="K102" s="30">
        <v>6062</v>
      </c>
      <c r="L102" s="30">
        <v>54145</v>
      </c>
      <c r="M102" s="30">
        <v>3500</v>
      </c>
      <c r="N102" s="41">
        <v>0</v>
      </c>
      <c r="P102" s="67"/>
      <c r="Q102" s="67">
        <f t="shared" si="20"/>
        <v>9361</v>
      </c>
    </row>
    <row r="103" spans="1:17" ht="13.5" customHeight="1">
      <c r="A103" s="260"/>
      <c r="B103" s="40" t="s">
        <v>112</v>
      </c>
      <c r="C103" s="29">
        <v>-4009</v>
      </c>
      <c r="D103" s="41">
        <v>1010</v>
      </c>
      <c r="E103" s="41">
        <v>0</v>
      </c>
      <c r="F103" s="41">
        <v>0</v>
      </c>
      <c r="G103" s="41">
        <v>721</v>
      </c>
      <c r="H103" s="30">
        <v>443722</v>
      </c>
      <c r="I103" s="41">
        <v>2582</v>
      </c>
      <c r="J103" s="30">
        <v>0</v>
      </c>
      <c r="K103" s="30">
        <v>0</v>
      </c>
      <c r="L103" s="30">
        <v>0</v>
      </c>
      <c r="M103" s="30">
        <v>3400</v>
      </c>
      <c r="N103" s="41">
        <v>3326.5</v>
      </c>
      <c r="P103" s="67"/>
      <c r="Q103" s="67">
        <f t="shared" si="20"/>
        <v>444026</v>
      </c>
    </row>
    <row r="104" spans="1:17" ht="13.5" customHeight="1">
      <c r="A104" s="260"/>
      <c r="B104" s="40" t="s">
        <v>113</v>
      </c>
      <c r="C104" s="29">
        <v>8235</v>
      </c>
      <c r="D104" s="41">
        <v>19035</v>
      </c>
      <c r="E104" s="41">
        <v>400</v>
      </c>
      <c r="F104" s="41">
        <v>0</v>
      </c>
      <c r="G104" s="41">
        <v>0</v>
      </c>
      <c r="H104" s="30">
        <v>0</v>
      </c>
      <c r="I104" s="41">
        <v>2620</v>
      </c>
      <c r="J104" s="30">
        <v>0</v>
      </c>
      <c r="K104" s="30">
        <v>1000</v>
      </c>
      <c r="L104" s="30">
        <v>0</v>
      </c>
      <c r="M104" s="30">
        <v>400</v>
      </c>
      <c r="N104" s="41">
        <v>570</v>
      </c>
      <c r="P104" s="67"/>
      <c r="Q104" s="67">
        <f t="shared" si="20"/>
        <v>30290</v>
      </c>
    </row>
    <row r="105" spans="1:17" ht="13.5" customHeight="1">
      <c r="A105" s="260"/>
      <c r="B105" s="40" t="s">
        <v>114</v>
      </c>
      <c r="C105" s="29">
        <v>22665</v>
      </c>
      <c r="D105" s="41">
        <v>11916</v>
      </c>
      <c r="E105" s="41">
        <v>0</v>
      </c>
      <c r="F105" s="41">
        <v>11425</v>
      </c>
      <c r="G105" s="41">
        <v>0</v>
      </c>
      <c r="H105" s="30">
        <v>0</v>
      </c>
      <c r="I105" s="41">
        <v>0</v>
      </c>
      <c r="J105" s="30">
        <v>12808.15</v>
      </c>
      <c r="K105" s="30">
        <v>25072</v>
      </c>
      <c r="L105" s="30">
        <v>1631</v>
      </c>
      <c r="M105" s="30">
        <v>0</v>
      </c>
      <c r="N105" s="41">
        <v>2605</v>
      </c>
      <c r="P105" s="67"/>
      <c r="Q105" s="67">
        <f t="shared" si="20"/>
        <v>58814.15</v>
      </c>
    </row>
    <row r="106" spans="1:17" ht="13.5" customHeight="1">
      <c r="A106" s="260"/>
      <c r="B106" s="40" t="s">
        <v>115</v>
      </c>
      <c r="C106" s="29">
        <v>0</v>
      </c>
      <c r="D106" s="41">
        <v>0</v>
      </c>
      <c r="E106" s="41">
        <v>0</v>
      </c>
      <c r="F106" s="41">
        <v>0</v>
      </c>
      <c r="G106" s="41">
        <v>0</v>
      </c>
      <c r="H106" s="30">
        <v>0</v>
      </c>
      <c r="I106" s="41">
        <v>69978</v>
      </c>
      <c r="J106" s="30">
        <v>0</v>
      </c>
      <c r="K106" s="30">
        <v>184067</v>
      </c>
      <c r="L106" s="30">
        <v>0</v>
      </c>
      <c r="M106" s="30">
        <v>0</v>
      </c>
      <c r="N106" s="41">
        <v>0</v>
      </c>
      <c r="P106" s="67"/>
      <c r="Q106" s="67">
        <f t="shared" si="20"/>
        <v>69978</v>
      </c>
    </row>
    <row r="107" spans="1:17" ht="13.5" customHeight="1">
      <c r="A107" s="260"/>
      <c r="B107" s="40" t="s">
        <v>218</v>
      </c>
      <c r="C107" s="29">
        <v>401367</v>
      </c>
      <c r="D107" s="41">
        <v>239654</v>
      </c>
      <c r="E107" s="41">
        <v>263055</v>
      </c>
      <c r="F107" s="41">
        <v>327956</v>
      </c>
      <c r="G107" s="41">
        <v>0</v>
      </c>
      <c r="H107" s="30">
        <v>0</v>
      </c>
      <c r="I107" s="41">
        <v>83166</v>
      </c>
      <c r="J107" s="30">
        <v>365136</v>
      </c>
      <c r="K107" s="30">
        <v>0</v>
      </c>
      <c r="L107" s="30">
        <v>133390</v>
      </c>
      <c r="M107" s="30">
        <v>0</v>
      </c>
      <c r="N107" s="41"/>
      <c r="P107" s="67"/>
      <c r="Q107" s="67">
        <f t="shared" si="20"/>
        <v>1680334</v>
      </c>
    </row>
    <row r="108" spans="1:17" ht="13.5" customHeight="1">
      <c r="A108" s="268" t="s">
        <v>217</v>
      </c>
      <c r="B108" s="34"/>
      <c r="C108" s="35">
        <f>SUM(C99:C107)</f>
        <v>434911</v>
      </c>
      <c r="D108" s="35">
        <f t="shared" ref="D108:N108" si="21">SUM(D99:D107)</f>
        <v>321224</v>
      </c>
      <c r="E108" s="35">
        <f t="shared" si="21"/>
        <v>266242</v>
      </c>
      <c r="F108" s="35">
        <f t="shared" si="21"/>
        <v>362332</v>
      </c>
      <c r="G108" s="35">
        <f t="shared" si="21"/>
        <v>21237</v>
      </c>
      <c r="H108" s="35">
        <f t="shared" si="21"/>
        <v>506168</v>
      </c>
      <c r="I108" s="35">
        <f t="shared" si="21"/>
        <v>174692</v>
      </c>
      <c r="J108" s="35">
        <f t="shared" si="21"/>
        <v>403741.81</v>
      </c>
      <c r="K108" s="35">
        <f t="shared" si="21"/>
        <v>235125</v>
      </c>
      <c r="L108" s="35">
        <f t="shared" si="21"/>
        <v>193910</v>
      </c>
      <c r="M108" s="35">
        <f t="shared" si="21"/>
        <v>23877</v>
      </c>
      <c r="N108" s="35">
        <f t="shared" si="21"/>
        <v>2436.8000000000002</v>
      </c>
      <c r="P108" s="67"/>
      <c r="Q108" s="69">
        <f t="shared" si="20"/>
        <v>2490547.81</v>
      </c>
    </row>
    <row r="109" spans="1:17" ht="13.5" customHeight="1">
      <c r="A109" s="268" t="s">
        <v>216</v>
      </c>
      <c r="B109" s="34"/>
      <c r="C109" s="35">
        <v>10975</v>
      </c>
      <c r="D109" s="35">
        <v>-20022</v>
      </c>
      <c r="E109" s="35">
        <v>3957</v>
      </c>
      <c r="F109" s="35">
        <v>8704</v>
      </c>
      <c r="G109" s="35">
        <v>0</v>
      </c>
      <c r="H109" s="35">
        <v>0</v>
      </c>
      <c r="I109" s="35">
        <v>16424</v>
      </c>
      <c r="J109" s="35">
        <v>-17177</v>
      </c>
      <c r="K109" s="35">
        <v>0</v>
      </c>
      <c r="L109" s="35">
        <v>0</v>
      </c>
      <c r="M109" s="223">
        <v>0</v>
      </c>
      <c r="N109" s="35">
        <v>0</v>
      </c>
      <c r="P109" s="67"/>
      <c r="Q109" s="69">
        <f t="shared" si="20"/>
        <v>2861</v>
      </c>
    </row>
    <row r="110" spans="1:17" s="33" customFormat="1" ht="13.5" customHeight="1">
      <c r="A110" s="263" t="s">
        <v>214</v>
      </c>
      <c r="B110" s="224"/>
      <c r="C110" s="225">
        <f>+C108+C109</f>
        <v>445886</v>
      </c>
      <c r="D110" s="225">
        <f t="shared" ref="D110:N110" si="22">+D108+D109</f>
        <v>301202</v>
      </c>
      <c r="E110" s="225">
        <f t="shared" si="22"/>
        <v>270199</v>
      </c>
      <c r="F110" s="225">
        <f t="shared" si="22"/>
        <v>371036</v>
      </c>
      <c r="G110" s="225">
        <f t="shared" si="22"/>
        <v>21237</v>
      </c>
      <c r="H110" s="225">
        <f t="shared" si="22"/>
        <v>506168</v>
      </c>
      <c r="I110" s="225">
        <f t="shared" si="22"/>
        <v>191116</v>
      </c>
      <c r="J110" s="225">
        <f t="shared" si="22"/>
        <v>386564.81</v>
      </c>
      <c r="K110" s="225">
        <f t="shared" si="22"/>
        <v>235125</v>
      </c>
      <c r="L110" s="225">
        <f t="shared" si="22"/>
        <v>193910</v>
      </c>
      <c r="M110" s="225">
        <f t="shared" si="22"/>
        <v>23877</v>
      </c>
      <c r="N110" s="225">
        <f t="shared" si="22"/>
        <v>2436.8000000000002</v>
      </c>
      <c r="P110" s="69"/>
      <c r="Q110" s="69">
        <f t="shared" si="20"/>
        <v>2493408.81</v>
      </c>
    </row>
    <row r="111" spans="1:17" ht="13.5" customHeight="1">
      <c r="A111" s="255" t="s">
        <v>116</v>
      </c>
      <c r="B111" s="40"/>
      <c r="C111" s="64"/>
      <c r="D111" s="65"/>
      <c r="E111" s="65"/>
      <c r="F111" s="65"/>
      <c r="G111" s="41"/>
      <c r="H111" s="66"/>
      <c r="I111" s="65"/>
      <c r="J111" s="66"/>
      <c r="K111" s="66"/>
      <c r="L111" s="66"/>
      <c r="M111" s="66"/>
      <c r="N111" s="65"/>
    </row>
    <row r="112" spans="1:17" ht="13.5" customHeight="1">
      <c r="A112" s="260"/>
      <c r="B112" s="40" t="s">
        <v>117</v>
      </c>
      <c r="C112" s="29">
        <v>0</v>
      </c>
      <c r="D112" s="41">
        <v>80989</v>
      </c>
      <c r="E112" s="41">
        <v>0</v>
      </c>
      <c r="F112" s="41">
        <v>0</v>
      </c>
      <c r="G112" s="41">
        <v>-20800</v>
      </c>
      <c r="H112" s="30">
        <v>157909</v>
      </c>
      <c r="I112" s="41">
        <v>-520</v>
      </c>
      <c r="J112" s="30">
        <v>0</v>
      </c>
      <c r="K112" s="30">
        <v>142874</v>
      </c>
      <c r="L112" s="30">
        <v>0</v>
      </c>
      <c r="M112" s="30">
        <v>67340</v>
      </c>
      <c r="N112" s="41">
        <v>45498.8</v>
      </c>
      <c r="P112" s="67"/>
      <c r="Q112" s="67">
        <f>SUM(C112:J112)</f>
        <v>217578</v>
      </c>
    </row>
    <row r="113" spans="1:17" ht="13.5" customHeight="1">
      <c r="A113" s="260"/>
      <c r="B113" s="40" t="s">
        <v>42</v>
      </c>
      <c r="C113" s="29">
        <f t="shared" ref="C113:N114" si="23">C60</f>
        <v>173612</v>
      </c>
      <c r="D113" s="29">
        <f t="shared" si="23"/>
        <v>234802</v>
      </c>
      <c r="E113" s="29">
        <f t="shared" si="23"/>
        <v>28233</v>
      </c>
      <c r="F113" s="29">
        <f t="shared" si="23"/>
        <v>-1022994</v>
      </c>
      <c r="G113" s="29">
        <f>G60</f>
        <v>-325492</v>
      </c>
      <c r="H113" s="29">
        <f t="shared" ref="H113:N113" si="24">H60</f>
        <v>113864</v>
      </c>
      <c r="I113" s="29">
        <f t="shared" si="24"/>
        <v>66942</v>
      </c>
      <c r="J113" s="29">
        <f t="shared" si="24"/>
        <v>36963.54</v>
      </c>
      <c r="K113" s="29">
        <f t="shared" si="24"/>
        <v>101524</v>
      </c>
      <c r="L113" s="29">
        <f t="shared" si="24"/>
        <v>621046</v>
      </c>
      <c r="M113" s="29">
        <f t="shared" si="24"/>
        <v>378934</v>
      </c>
      <c r="N113" s="29">
        <f t="shared" si="24"/>
        <v>242717.7</v>
      </c>
      <c r="P113" s="67"/>
      <c r="Q113" s="67">
        <f t="shared" ref="Q113:Q119" si="25">SUM(C113:J113)</f>
        <v>-694069.46</v>
      </c>
    </row>
    <row r="114" spans="1:17" ht="13.5" customHeight="1">
      <c r="A114" s="260"/>
      <c r="B114" s="40" t="s">
        <v>220</v>
      </c>
      <c r="C114" s="29">
        <f t="shared" si="23"/>
        <v>-368828</v>
      </c>
      <c r="D114" s="29">
        <f t="shared" si="23"/>
        <v>-160444</v>
      </c>
      <c r="E114" s="29">
        <f t="shared" si="23"/>
        <v>-253714</v>
      </c>
      <c r="F114" s="29">
        <f t="shared" si="23"/>
        <v>-289027</v>
      </c>
      <c r="G114" s="29">
        <f t="shared" si="23"/>
        <v>0</v>
      </c>
      <c r="H114" s="29">
        <f t="shared" si="23"/>
        <v>0</v>
      </c>
      <c r="I114" s="29">
        <f t="shared" si="23"/>
        <v>-99590</v>
      </c>
      <c r="J114" s="29">
        <f t="shared" si="23"/>
        <v>-335262</v>
      </c>
      <c r="K114" s="29">
        <f t="shared" si="23"/>
        <v>0</v>
      </c>
      <c r="L114" s="29">
        <f t="shared" si="23"/>
        <v>-133390</v>
      </c>
      <c r="M114" s="29">
        <f t="shared" si="23"/>
        <v>0</v>
      </c>
      <c r="N114" s="29">
        <f t="shared" si="23"/>
        <v>0</v>
      </c>
      <c r="P114" s="67"/>
      <c r="Q114" s="67">
        <f t="shared" si="25"/>
        <v>-1506865</v>
      </c>
    </row>
    <row r="115" spans="1:17" ht="13.5" customHeight="1">
      <c r="A115" s="260"/>
      <c r="B115" s="40" t="s">
        <v>43</v>
      </c>
      <c r="C115" s="29">
        <f t="shared" ref="C115:F115" si="26">C62</f>
        <v>0</v>
      </c>
      <c r="D115" s="29">
        <f t="shared" si="26"/>
        <v>0</v>
      </c>
      <c r="E115" s="29">
        <f t="shared" si="26"/>
        <v>0</v>
      </c>
      <c r="F115" s="29">
        <f t="shared" si="26"/>
        <v>2971485</v>
      </c>
      <c r="G115" s="29">
        <f>G62</f>
        <v>0</v>
      </c>
      <c r="H115" s="29">
        <f t="shared" ref="H115:N115" si="27">H62</f>
        <v>0</v>
      </c>
      <c r="I115" s="29">
        <f t="shared" si="27"/>
        <v>0</v>
      </c>
      <c r="J115" s="29">
        <f t="shared" si="27"/>
        <v>0</v>
      </c>
      <c r="K115" s="29">
        <f t="shared" si="27"/>
        <v>0</v>
      </c>
      <c r="L115" s="29">
        <f t="shared" si="27"/>
        <v>0</v>
      </c>
      <c r="M115" s="29">
        <f t="shared" si="27"/>
        <v>0</v>
      </c>
      <c r="N115" s="29">
        <f t="shared" si="27"/>
        <v>0</v>
      </c>
      <c r="P115" s="67"/>
      <c r="Q115" s="67">
        <f t="shared" si="25"/>
        <v>2971485</v>
      </c>
    </row>
    <row r="116" spans="1:17" ht="13.5" customHeight="1">
      <c r="A116" s="260"/>
      <c r="B116" s="40" t="s">
        <v>118</v>
      </c>
      <c r="C116" s="29">
        <f t="shared" ref="C116:F116" si="28">C63</f>
        <v>785861</v>
      </c>
      <c r="D116" s="29">
        <f t="shared" si="28"/>
        <v>1471312</v>
      </c>
      <c r="E116" s="29">
        <f t="shared" si="28"/>
        <v>485932</v>
      </c>
      <c r="F116" s="29">
        <f t="shared" si="28"/>
        <v>258369</v>
      </c>
      <c r="G116" s="29">
        <f>G63</f>
        <v>3000000</v>
      </c>
      <c r="H116" s="29">
        <f t="shared" ref="H116:N116" si="29">H63</f>
        <v>8753</v>
      </c>
      <c r="I116" s="29">
        <f t="shared" si="29"/>
        <v>1038115</v>
      </c>
      <c r="J116" s="29">
        <f t="shared" si="29"/>
        <v>358070.59999999986</v>
      </c>
      <c r="K116" s="29">
        <f t="shared" si="29"/>
        <v>2340568</v>
      </c>
      <c r="L116" s="29">
        <f t="shared" si="29"/>
        <v>678004</v>
      </c>
      <c r="M116" s="29">
        <f t="shared" si="29"/>
        <v>69157</v>
      </c>
      <c r="N116" s="29">
        <f t="shared" si="29"/>
        <v>976855.85999999987</v>
      </c>
      <c r="P116" s="67"/>
      <c r="Q116" s="67">
        <f t="shared" si="25"/>
        <v>7406412.5999999996</v>
      </c>
    </row>
    <row r="117" spans="1:17" ht="13.5" customHeight="1">
      <c r="A117" s="269"/>
      <c r="B117" s="71" t="s">
        <v>106</v>
      </c>
      <c r="C117" s="72">
        <v>0</v>
      </c>
      <c r="D117" s="73">
        <v>0</v>
      </c>
      <c r="E117" s="73">
        <v>0</v>
      </c>
      <c r="F117" s="73">
        <v>0</v>
      </c>
      <c r="G117" s="73">
        <v>0</v>
      </c>
      <c r="H117" s="73">
        <v>0</v>
      </c>
      <c r="I117" s="73">
        <v>0</v>
      </c>
      <c r="J117" s="73">
        <v>0</v>
      </c>
      <c r="K117" s="73">
        <v>0</v>
      </c>
      <c r="L117" s="74">
        <v>0</v>
      </c>
      <c r="M117" s="74">
        <v>0</v>
      </c>
      <c r="N117" s="41">
        <v>0</v>
      </c>
      <c r="P117" s="67"/>
      <c r="Q117" s="67">
        <f t="shared" si="25"/>
        <v>0</v>
      </c>
    </row>
    <row r="118" spans="1:17" s="33" customFormat="1" ht="13.5" customHeight="1">
      <c r="A118" s="268" t="s">
        <v>46</v>
      </c>
      <c r="B118" s="75"/>
      <c r="C118" s="76">
        <f t="shared" ref="C118:K118" si="30">SUM(C112:C117)</f>
        <v>590645</v>
      </c>
      <c r="D118" s="76">
        <f t="shared" si="30"/>
        <v>1626659</v>
      </c>
      <c r="E118" s="76">
        <f t="shared" si="30"/>
        <v>260451</v>
      </c>
      <c r="F118" s="76">
        <f t="shared" si="30"/>
        <v>1917833</v>
      </c>
      <c r="G118" s="76">
        <f t="shared" si="30"/>
        <v>2653708</v>
      </c>
      <c r="H118" s="76">
        <f>SUM(H112:H117)</f>
        <v>280526</v>
      </c>
      <c r="I118" s="76">
        <f t="shared" si="30"/>
        <v>1004947</v>
      </c>
      <c r="J118" s="76">
        <f t="shared" ref="J118" si="31">SUM(J112:J117)</f>
        <v>59772.139999999839</v>
      </c>
      <c r="K118" s="76">
        <f t="shared" si="30"/>
        <v>2584966</v>
      </c>
      <c r="L118" s="76">
        <f>SUM(L112:L117)</f>
        <v>1165660</v>
      </c>
      <c r="M118" s="76">
        <f>SUM(M112:M117)</f>
        <v>515431</v>
      </c>
      <c r="N118" s="35">
        <f>SUM(N112:N117)</f>
        <v>1265072.3599999999</v>
      </c>
      <c r="O118" s="77"/>
      <c r="P118" s="69"/>
      <c r="Q118" s="69">
        <f t="shared" si="25"/>
        <v>8394541.1400000006</v>
      </c>
    </row>
    <row r="119" spans="1:17" s="54" customFormat="1">
      <c r="A119" s="263" t="s">
        <v>219</v>
      </c>
      <c r="B119" s="224"/>
      <c r="C119" s="225">
        <f t="shared" ref="C119:L119" si="32">SUM(C110:C117)</f>
        <v>1036531</v>
      </c>
      <c r="D119" s="225">
        <f t="shared" si="32"/>
        <v>1927861</v>
      </c>
      <c r="E119" s="225">
        <f t="shared" si="32"/>
        <v>530650</v>
      </c>
      <c r="F119" s="225">
        <f t="shared" si="32"/>
        <v>2288869</v>
      </c>
      <c r="G119" s="225">
        <f t="shared" si="32"/>
        <v>2674945</v>
      </c>
      <c r="H119" s="225">
        <f>SUM(H110:H117)</f>
        <v>786694</v>
      </c>
      <c r="I119" s="225">
        <f t="shared" si="32"/>
        <v>1196063</v>
      </c>
      <c r="J119" s="225">
        <f t="shared" ref="J119" si="33">SUM(J110:J117)</f>
        <v>446336.94999999984</v>
      </c>
      <c r="K119" s="225">
        <f t="shared" si="32"/>
        <v>2820091</v>
      </c>
      <c r="L119" s="225">
        <f t="shared" si="32"/>
        <v>1359570</v>
      </c>
      <c r="M119" s="225">
        <f>SUM(M110:M117)</f>
        <v>539308</v>
      </c>
      <c r="N119" s="225">
        <f>SUM(N110:N117)</f>
        <v>1267509.1599999999</v>
      </c>
      <c r="P119" s="69"/>
      <c r="Q119" s="69">
        <f t="shared" si="25"/>
        <v>10887949.949999999</v>
      </c>
    </row>
    <row r="120" spans="1:17" s="51" customFormat="1" hidden="1">
      <c r="A120" s="222"/>
      <c r="B120" s="62" t="s">
        <v>88</v>
      </c>
      <c r="C120" s="80">
        <f t="shared" ref="C120:N120" si="34">+C97-C119</f>
        <v>0</v>
      </c>
      <c r="D120" s="80">
        <f t="shared" si="34"/>
        <v>-4</v>
      </c>
      <c r="E120" s="58">
        <f t="shared" si="34"/>
        <v>0</v>
      </c>
      <c r="F120" s="80">
        <f t="shared" si="34"/>
        <v>-3</v>
      </c>
      <c r="G120" s="80">
        <f t="shared" si="34"/>
        <v>0</v>
      </c>
      <c r="H120" s="80">
        <f t="shared" si="34"/>
        <v>0</v>
      </c>
      <c r="I120" s="80">
        <f t="shared" si="34"/>
        <v>0</v>
      </c>
      <c r="J120" s="80">
        <f t="shared" si="34"/>
        <v>0</v>
      </c>
      <c r="K120" s="80">
        <f t="shared" si="34"/>
        <v>0</v>
      </c>
      <c r="L120" s="80">
        <f t="shared" si="34"/>
        <v>-1</v>
      </c>
      <c r="M120" s="80">
        <f t="shared" si="34"/>
        <v>0</v>
      </c>
      <c r="N120" s="80">
        <f t="shared" si="34"/>
        <v>0</v>
      </c>
    </row>
    <row r="121" spans="1:17" s="51" customFormat="1" ht="17.25" customHeight="1">
      <c r="A121" s="222"/>
      <c r="B121" s="62"/>
      <c r="C121" s="80"/>
      <c r="D121" s="80"/>
      <c r="E121" s="58"/>
      <c r="F121" s="80"/>
      <c r="G121" s="80"/>
      <c r="H121" s="80"/>
      <c r="I121" s="80"/>
      <c r="J121" s="80"/>
      <c r="K121" s="80"/>
      <c r="L121" s="80"/>
      <c r="M121" s="80"/>
      <c r="N121" s="80"/>
    </row>
    <row r="122" spans="1:17" s="51" customFormat="1" ht="30.75" customHeight="1">
      <c r="A122" s="360" t="s">
        <v>119</v>
      </c>
      <c r="B122" s="361"/>
      <c r="C122" s="354">
        <f t="shared" ref="C122:I122" si="35">C55/(C31)</f>
        <v>9.5757739425036209E-2</v>
      </c>
      <c r="D122" s="354">
        <f t="shared" si="35"/>
        <v>-7.3904463638803639E-2</v>
      </c>
      <c r="E122" s="354">
        <f t="shared" si="35"/>
        <v>-5.9248905355338497</v>
      </c>
      <c r="F122" s="354">
        <f t="shared" si="35"/>
        <v>-16.89086886324224</v>
      </c>
      <c r="G122" s="354">
        <f t="shared" si="35"/>
        <v>-5.3923038480759624</v>
      </c>
      <c r="H122" s="354">
        <f t="shared" si="35"/>
        <v>1.8713901691431547E-3</v>
      </c>
      <c r="I122" s="354">
        <f t="shared" si="35"/>
        <v>0.126411432397568</v>
      </c>
      <c r="J122" s="354">
        <f t="shared" ref="J122" si="36">J55/(J31)</f>
        <v>-0.12333884121255211</v>
      </c>
      <c r="K122" s="354">
        <f>K55/(K31)</f>
        <v>-0.23855482874477191</v>
      </c>
      <c r="L122" s="354">
        <f>L55/(L31)</f>
        <v>-0.1787249814677539</v>
      </c>
      <c r="M122" s="354">
        <f>M55/(M31)</f>
        <v>-4.8713205465225715E-2</v>
      </c>
      <c r="N122" s="354">
        <f>N55/(N31)</f>
        <v>-0.60739282554812568</v>
      </c>
    </row>
    <row r="123" spans="1:17" s="51" customFormat="1" ht="24">
      <c r="A123" s="257"/>
      <c r="B123" s="299" t="s">
        <v>120</v>
      </c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354"/>
      <c r="N123" s="354"/>
    </row>
    <row r="124" spans="1:17" s="160" customFormat="1" ht="14.25">
      <c r="A124" s="300" t="s">
        <v>194</v>
      </c>
      <c r="B124" s="301"/>
      <c r="C124" s="351">
        <f>(SUM(C83:C84))/SUM(C99:C104)</f>
        <v>19.041915617244232</v>
      </c>
      <c r="D124" s="351">
        <f>(SUM(D83:D84))/SUM(D99:D104)</f>
        <v>4.1569759094955065</v>
      </c>
      <c r="E124" s="351">
        <f>(SUM(E83:E84))/SUM(E99:E104)</f>
        <v>7.3015374960778159</v>
      </c>
      <c r="F124" s="351">
        <f t="shared" ref="F124:N124" si="37">(SUM(F83:F84))/SUM(F99:F104)</f>
        <v>0.7901180776436757</v>
      </c>
      <c r="G124" s="351">
        <f t="shared" si="37"/>
        <v>0.6761312803126619</v>
      </c>
      <c r="H124" s="351">
        <f t="shared" si="37"/>
        <v>0.66029263011490258</v>
      </c>
      <c r="I124" s="351">
        <f t="shared" si="37"/>
        <v>3.9520605160571747</v>
      </c>
      <c r="J124" s="351">
        <f t="shared" ref="J124" si="38">(SUM(J83:J84))/SUM(J99:J104)</f>
        <v>2.9293102552712149</v>
      </c>
      <c r="K124" s="351">
        <f t="shared" si="37"/>
        <v>11.318633110136227</v>
      </c>
      <c r="L124" s="351">
        <f t="shared" si="37"/>
        <v>11.573740426904855</v>
      </c>
      <c r="M124" s="351">
        <f t="shared" si="37"/>
        <v>19.690539012438748</v>
      </c>
      <c r="N124" s="351">
        <f t="shared" si="37"/>
        <v>-1728.0219976218805</v>
      </c>
    </row>
    <row r="125" spans="1:17" s="160" customFormat="1" ht="36">
      <c r="A125" s="302"/>
      <c r="B125" s="303" t="s">
        <v>195</v>
      </c>
      <c r="C125" s="352"/>
      <c r="D125" s="352"/>
      <c r="E125" s="352"/>
      <c r="F125" s="352"/>
      <c r="G125" s="352"/>
      <c r="H125" s="352"/>
      <c r="I125" s="352"/>
      <c r="J125" s="352"/>
      <c r="K125" s="352"/>
      <c r="L125" s="352"/>
      <c r="M125" s="352"/>
      <c r="N125" s="352"/>
    </row>
    <row r="126" spans="1:17" s="160" customFormat="1" ht="14.25">
      <c r="A126" s="300" t="s">
        <v>196</v>
      </c>
      <c r="B126" s="301"/>
      <c r="C126" s="351">
        <f>(SUM(C83:C84))/SUM(C99:C105)</f>
        <v>6.1756797042690197</v>
      </c>
      <c r="D126" s="351">
        <f>(SUM(D83:D84))/SUM(D99:D105)</f>
        <v>3.5497119038862328</v>
      </c>
      <c r="E126" s="351">
        <f>(SUM(E83:E84))/SUM(E99:E105)</f>
        <v>7.3015374960778159</v>
      </c>
      <c r="F126" s="351">
        <f t="shared" ref="F126:N126" si="39">(SUM(F83:F84))/SUM(F99:F105)</f>
        <v>0.52751919944147074</v>
      </c>
      <c r="G126" s="351">
        <f t="shared" si="39"/>
        <v>0.6761312803126619</v>
      </c>
      <c r="H126" s="351">
        <f t="shared" si="39"/>
        <v>0.66029263011490258</v>
      </c>
      <c r="I126" s="351">
        <f t="shared" si="39"/>
        <v>3.9520605160571747</v>
      </c>
      <c r="J126" s="351">
        <f t="shared" ref="J126" si="40">(SUM(J83:J84))/SUM(J99:J105)</f>
        <v>1.9574605480366818</v>
      </c>
      <c r="K126" s="351">
        <f t="shared" si="39"/>
        <v>5.7606251713737322</v>
      </c>
      <c r="L126" s="351">
        <f t="shared" si="39"/>
        <v>11.261830799735625</v>
      </c>
      <c r="M126" s="351">
        <f t="shared" si="39"/>
        <v>19.690539012438748</v>
      </c>
      <c r="N126" s="351">
        <f t="shared" si="39"/>
        <v>119.27663328956007</v>
      </c>
    </row>
    <row r="127" spans="1:17" s="160" customFormat="1" ht="24">
      <c r="A127" s="302"/>
      <c r="B127" s="303" t="s">
        <v>197</v>
      </c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2"/>
      <c r="N127" s="352"/>
    </row>
    <row r="128" spans="1:17" s="172" customFormat="1" ht="8.1" customHeight="1">
      <c r="A128" s="174"/>
      <c r="B128" s="175"/>
      <c r="C128" s="176"/>
      <c r="D128" s="176"/>
      <c r="E128" s="176"/>
      <c r="F128" s="176"/>
      <c r="G128" s="176"/>
      <c r="H128" s="176"/>
      <c r="I128" s="176"/>
      <c r="J128" s="176"/>
      <c r="K128" s="176"/>
      <c r="L128" s="176"/>
      <c r="M128" s="176"/>
      <c r="N128" s="177"/>
    </row>
    <row r="129" spans="1:16" s="51" customFormat="1" ht="15" customHeight="1">
      <c r="A129" s="304" t="s">
        <v>121</v>
      </c>
      <c r="B129" s="75"/>
      <c r="C129" s="353">
        <f t="shared" ref="C129:N129" si="41">C110/C97</f>
        <v>0.43017140828397799</v>
      </c>
      <c r="D129" s="353">
        <f t="shared" si="41"/>
        <v>0.15623669182932137</v>
      </c>
      <c r="E129" s="353">
        <f t="shared" si="41"/>
        <v>0.50918496183925377</v>
      </c>
      <c r="F129" s="353">
        <f t="shared" si="41"/>
        <v>0.16210472784339494</v>
      </c>
      <c r="G129" s="353">
        <f t="shared" si="41"/>
        <v>7.9392286570378074E-3</v>
      </c>
      <c r="H129" s="353">
        <f t="shared" si="41"/>
        <v>0.64341154248030363</v>
      </c>
      <c r="I129" s="353">
        <f t="shared" si="41"/>
        <v>0.15978756971831751</v>
      </c>
      <c r="J129" s="353">
        <f t="shared" ref="J129" si="42">J110/J97</f>
        <v>0.86608292233031581</v>
      </c>
      <c r="K129" s="353">
        <f t="shared" si="41"/>
        <v>8.3374969105606878E-2</v>
      </c>
      <c r="L129" s="353">
        <f t="shared" si="41"/>
        <v>0.14262608223635578</v>
      </c>
      <c r="M129" s="353">
        <f t="shared" si="41"/>
        <v>4.427340221172317E-2</v>
      </c>
      <c r="N129" s="353">
        <f t="shared" si="41"/>
        <v>1.9225107611845582E-3</v>
      </c>
    </row>
    <row r="130" spans="1:16" s="51" customFormat="1" ht="25.5">
      <c r="A130" s="257"/>
      <c r="B130" s="305" t="s">
        <v>122</v>
      </c>
      <c r="C130" s="353"/>
      <c r="D130" s="353"/>
      <c r="E130" s="353"/>
      <c r="F130" s="353"/>
      <c r="G130" s="353"/>
      <c r="H130" s="353"/>
      <c r="I130" s="353"/>
      <c r="J130" s="353"/>
      <c r="K130" s="353"/>
      <c r="L130" s="353"/>
      <c r="M130" s="353"/>
      <c r="N130" s="353"/>
    </row>
    <row r="131" spans="1:16" s="51" customFormat="1" ht="15" customHeight="1">
      <c r="A131" s="304" t="s">
        <v>123</v>
      </c>
      <c r="B131" s="306"/>
      <c r="C131" s="353">
        <f t="shared" ref="C131:N131" si="43">C118/C97</f>
        <v>0.56982859171602196</v>
      </c>
      <c r="D131" s="353">
        <f t="shared" si="43"/>
        <v>0.84376538301336668</v>
      </c>
      <c r="E131" s="353">
        <f t="shared" si="43"/>
        <v>0.49081503816074623</v>
      </c>
      <c r="F131" s="353">
        <f t="shared" si="43"/>
        <v>0.83789658284932367</v>
      </c>
      <c r="G131" s="353">
        <f t="shared" si="43"/>
        <v>0.99206077134296222</v>
      </c>
      <c r="H131" s="353">
        <f t="shared" si="43"/>
        <v>0.35658845751969637</v>
      </c>
      <c r="I131" s="353">
        <f t="shared" si="43"/>
        <v>0.84021243028168247</v>
      </c>
      <c r="J131" s="353">
        <f t="shared" ref="J131" si="44">J118/J97</f>
        <v>0.13391707766968397</v>
      </c>
      <c r="K131" s="353">
        <f t="shared" si="43"/>
        <v>0.91662503089439318</v>
      </c>
      <c r="L131" s="353">
        <f t="shared" si="43"/>
        <v>0.85737465329085905</v>
      </c>
      <c r="M131" s="353">
        <f t="shared" si="43"/>
        <v>0.95572659778827684</v>
      </c>
      <c r="N131" s="353">
        <f t="shared" si="43"/>
        <v>0.99807748923881523</v>
      </c>
    </row>
    <row r="132" spans="1:16" s="51" customFormat="1" ht="25.5" customHeight="1">
      <c r="A132" s="257"/>
      <c r="B132" s="299" t="s">
        <v>124</v>
      </c>
      <c r="C132" s="353"/>
      <c r="D132" s="353"/>
      <c r="E132" s="353"/>
      <c r="F132" s="353"/>
      <c r="G132" s="353"/>
      <c r="H132" s="353"/>
      <c r="I132" s="353"/>
      <c r="J132" s="353"/>
      <c r="K132" s="353"/>
      <c r="L132" s="353"/>
      <c r="M132" s="353"/>
      <c r="N132" s="353"/>
    </row>
    <row r="133" spans="1:16" s="51" customFormat="1" ht="15" customHeight="1">
      <c r="A133" s="362" t="s">
        <v>125</v>
      </c>
      <c r="B133" s="363"/>
      <c r="C133" s="353">
        <f t="shared" ref="C133:N133" si="45">C110/C118</f>
        <v>0.75491369604415515</v>
      </c>
      <c r="D133" s="353">
        <f t="shared" si="45"/>
        <v>0.18516603664320549</v>
      </c>
      <c r="E133" s="353">
        <f t="shared" si="45"/>
        <v>1.0374273855734859</v>
      </c>
      <c r="F133" s="353">
        <f t="shared" si="45"/>
        <v>0.19346627156796239</v>
      </c>
      <c r="G133" s="353">
        <f t="shared" si="45"/>
        <v>8.0027644337658851E-3</v>
      </c>
      <c r="H133" s="353">
        <f t="shared" si="45"/>
        <v>1.8043532506790814</v>
      </c>
      <c r="I133" s="353">
        <f t="shared" si="45"/>
        <v>0.19017520326942614</v>
      </c>
      <c r="J133" s="353">
        <f t="shared" ref="J133" si="46">J110/J118</f>
        <v>6.4673075114928302</v>
      </c>
      <c r="K133" s="353">
        <f t="shared" si="45"/>
        <v>9.0958643169774769E-2</v>
      </c>
      <c r="L133" s="353">
        <f t="shared" si="45"/>
        <v>0.16635210953451263</v>
      </c>
      <c r="M133" s="353">
        <f t="shared" si="45"/>
        <v>4.6324338272242069E-2</v>
      </c>
      <c r="N133" s="353">
        <f t="shared" si="45"/>
        <v>1.9262139281898472E-3</v>
      </c>
    </row>
    <row r="134" spans="1:16" s="51" customFormat="1">
      <c r="A134" s="257"/>
      <c r="B134" s="299" t="s">
        <v>126</v>
      </c>
      <c r="C134" s="353"/>
      <c r="D134" s="353"/>
      <c r="E134" s="353"/>
      <c r="F134" s="353"/>
      <c r="G134" s="353"/>
      <c r="H134" s="353"/>
      <c r="I134" s="353"/>
      <c r="J134" s="353"/>
      <c r="K134" s="353"/>
      <c r="L134" s="353"/>
      <c r="M134" s="353"/>
      <c r="N134" s="353"/>
    </row>
    <row r="135" spans="1:16" s="172" customFormat="1" ht="8.1" customHeight="1">
      <c r="A135" s="178"/>
      <c r="B135" s="179"/>
      <c r="C135" s="180"/>
      <c r="D135" s="180"/>
      <c r="E135" s="181"/>
      <c r="F135" s="180"/>
      <c r="G135" s="180"/>
      <c r="H135" s="180"/>
      <c r="I135" s="180"/>
      <c r="J135" s="180"/>
      <c r="K135" s="180"/>
      <c r="L135" s="180"/>
      <c r="M135" s="180"/>
      <c r="N135" s="182"/>
    </row>
    <row r="136" spans="1:16" s="51" customFormat="1" ht="13.5" customHeight="1">
      <c r="A136" s="268" t="s">
        <v>127</v>
      </c>
      <c r="B136" s="34"/>
      <c r="C136" s="183">
        <v>2</v>
      </c>
      <c r="D136" s="183">
        <v>4</v>
      </c>
      <c r="E136" s="183">
        <v>1</v>
      </c>
      <c r="F136" s="183">
        <v>2</v>
      </c>
      <c r="G136" s="183">
        <v>0</v>
      </c>
      <c r="H136" s="183">
        <v>0</v>
      </c>
      <c r="I136" s="183">
        <v>0</v>
      </c>
      <c r="J136" s="183">
        <v>1</v>
      </c>
      <c r="K136" s="183">
        <v>3</v>
      </c>
      <c r="L136" s="183">
        <v>1</v>
      </c>
      <c r="M136" s="183">
        <v>5</v>
      </c>
      <c r="N136" s="183">
        <v>4</v>
      </c>
      <c r="O136" s="82">
        <f>AVERAGE(C136:N136)</f>
        <v>1.9166666666666667</v>
      </c>
      <c r="P136" s="82"/>
    </row>
    <row r="137" spans="1:16" s="173" customFormat="1" ht="8.1" customHeight="1">
      <c r="A137" s="184"/>
      <c r="B137" s="179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85"/>
    </row>
    <row r="138" spans="1:16">
      <c r="A138" s="307" t="s">
        <v>128</v>
      </c>
      <c r="B138" s="307"/>
      <c r="C138" s="310" t="s">
        <v>234</v>
      </c>
      <c r="D138" s="186">
        <v>6990</v>
      </c>
      <c r="E138" s="186">
        <v>0</v>
      </c>
      <c r="F138" s="310" t="s">
        <v>234</v>
      </c>
      <c r="G138" s="310" t="s">
        <v>234</v>
      </c>
      <c r="H138" s="186">
        <v>31048</v>
      </c>
      <c r="I138" s="186">
        <v>7669</v>
      </c>
      <c r="J138" s="186">
        <v>7525</v>
      </c>
      <c r="K138" s="186">
        <v>13339</v>
      </c>
      <c r="L138" s="81">
        <v>11240</v>
      </c>
      <c r="M138" s="186">
        <v>10383</v>
      </c>
      <c r="N138" s="186">
        <v>4026</v>
      </c>
      <c r="O138" s="45">
        <f>AVERAGE(C138:N138)</f>
        <v>10246.666666666666</v>
      </c>
    </row>
    <row r="139" spans="1:16">
      <c r="A139" s="307" t="s">
        <v>129</v>
      </c>
      <c r="B139" s="307"/>
      <c r="C139" s="310" t="s">
        <v>234</v>
      </c>
      <c r="D139" s="186">
        <v>3939</v>
      </c>
      <c r="E139" s="186">
        <v>3000</v>
      </c>
      <c r="F139" s="310" t="s">
        <v>234</v>
      </c>
      <c r="G139" s="310" t="s">
        <v>234</v>
      </c>
      <c r="H139" s="186">
        <v>40479</v>
      </c>
      <c r="I139" s="186">
        <v>2635</v>
      </c>
      <c r="J139" s="186">
        <v>9089</v>
      </c>
      <c r="K139" s="186">
        <v>5360</v>
      </c>
      <c r="L139" s="186">
        <v>774</v>
      </c>
      <c r="M139" s="186">
        <v>0</v>
      </c>
      <c r="N139" s="186">
        <v>1516</v>
      </c>
      <c r="O139" s="45">
        <f>AVERAGE(C139:N139)</f>
        <v>7421.333333333333</v>
      </c>
    </row>
    <row r="140" spans="1:16">
      <c r="A140" s="307" t="s">
        <v>130</v>
      </c>
      <c r="B140" s="307"/>
      <c r="C140" s="310" t="s">
        <v>234</v>
      </c>
      <c r="D140" s="186">
        <v>10929</v>
      </c>
      <c r="E140" s="186">
        <v>3000</v>
      </c>
      <c r="F140" s="310" t="s">
        <v>234</v>
      </c>
      <c r="G140" s="310" t="s">
        <v>234</v>
      </c>
      <c r="H140" s="186">
        <v>71527</v>
      </c>
      <c r="I140" s="186">
        <v>10304</v>
      </c>
      <c r="J140" s="186">
        <v>16614</v>
      </c>
      <c r="K140" s="186">
        <v>18699</v>
      </c>
      <c r="L140" s="81">
        <v>12014</v>
      </c>
      <c r="M140" s="186">
        <v>10383</v>
      </c>
      <c r="N140" s="186">
        <v>5542</v>
      </c>
      <c r="O140" s="45">
        <f>AVERAGE(C140:N140)</f>
        <v>17668</v>
      </c>
    </row>
    <row r="141" spans="1:16">
      <c r="B141" s="60"/>
      <c r="C141" s="60"/>
      <c r="D141" s="60"/>
      <c r="E141" s="60"/>
      <c r="F141" s="60"/>
      <c r="G141" s="60"/>
      <c r="I141" s="60"/>
      <c r="N141" s="60"/>
    </row>
    <row r="142" spans="1:16">
      <c r="B142" s="60"/>
      <c r="C142" s="60"/>
      <c r="D142" s="60"/>
      <c r="E142" s="60"/>
      <c r="F142" s="60"/>
      <c r="G142" s="60"/>
      <c r="I142" s="60"/>
      <c r="N142" s="60"/>
    </row>
    <row r="143" spans="1:16">
      <c r="A143" s="221"/>
      <c r="B143" s="63"/>
      <c r="C143" s="60"/>
      <c r="D143" s="60"/>
      <c r="E143" s="60"/>
      <c r="F143" s="60"/>
      <c r="G143" s="60"/>
      <c r="I143" s="60"/>
    </row>
    <row r="144" spans="1:16">
      <c r="A144" s="221"/>
      <c r="B144" s="63"/>
      <c r="C144" s="60"/>
      <c r="D144" s="60"/>
      <c r="E144" s="60"/>
      <c r="F144" s="60"/>
      <c r="G144" s="60"/>
      <c r="I144" s="60"/>
    </row>
    <row r="150" spans="3:3">
      <c r="C150" s="20"/>
    </row>
    <row r="151" spans="3:3">
      <c r="C151" s="20"/>
    </row>
    <row r="152" spans="3:3">
      <c r="C152" s="20"/>
    </row>
    <row r="153" spans="3:3">
      <c r="C153" s="20"/>
    </row>
    <row r="154" spans="3:3">
      <c r="C154" s="20"/>
    </row>
    <row r="155" spans="3:3">
      <c r="C155" s="20"/>
    </row>
    <row r="156" spans="3:3">
      <c r="C156" s="20"/>
    </row>
    <row r="157" spans="3:3">
      <c r="C157" s="20"/>
    </row>
    <row r="158" spans="3:3">
      <c r="C158" s="20"/>
    </row>
    <row r="159" spans="3:3">
      <c r="C159" s="20"/>
    </row>
    <row r="160" spans="3:3">
      <c r="C160" s="20"/>
    </row>
    <row r="161" spans="3:3">
      <c r="C161" s="20"/>
    </row>
    <row r="162" spans="3:3">
      <c r="C162" s="20"/>
    </row>
    <row r="163" spans="3:3">
      <c r="C163" s="20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79" spans="3:3">
      <c r="C179" s="20"/>
    </row>
    <row r="180" spans="3:3">
      <c r="C180" s="20"/>
    </row>
    <row r="181" spans="3:3">
      <c r="C181" s="20"/>
    </row>
    <row r="182" spans="3:3">
      <c r="C182" s="20"/>
    </row>
    <row r="183" spans="3:3">
      <c r="C183" s="20"/>
    </row>
    <row r="184" spans="3:3">
      <c r="C184" s="20"/>
    </row>
    <row r="185" spans="3:3">
      <c r="C185" s="20"/>
    </row>
    <row r="186" spans="3:3">
      <c r="C186" s="20"/>
    </row>
    <row r="187" spans="3:3">
      <c r="C187" s="20"/>
    </row>
    <row r="188" spans="3:3">
      <c r="C188" s="20"/>
    </row>
    <row r="189" spans="3:3">
      <c r="C189" s="20"/>
    </row>
    <row r="190" spans="3:3">
      <c r="C190" s="20"/>
    </row>
    <row r="191" spans="3:3">
      <c r="C191" s="20"/>
    </row>
    <row r="192" spans="3:3">
      <c r="C192" s="20"/>
    </row>
    <row r="193" spans="3:3">
      <c r="C193" s="20"/>
    </row>
    <row r="194" spans="3:3">
      <c r="C194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14" spans="3:3">
      <c r="C214" s="20"/>
    </row>
    <row r="215" spans="3:3">
      <c r="C215" s="20"/>
    </row>
    <row r="216" spans="3:3">
      <c r="C216" s="20"/>
    </row>
    <row r="217" spans="3:3">
      <c r="C217" s="20"/>
    </row>
    <row r="218" spans="3:3">
      <c r="C218" s="20"/>
    </row>
    <row r="219" spans="3:3">
      <c r="C219" s="20"/>
    </row>
    <row r="220" spans="3:3">
      <c r="C220" s="20"/>
    </row>
    <row r="221" spans="3:3">
      <c r="C221" s="20"/>
    </row>
    <row r="222" spans="3:3">
      <c r="C222" s="20"/>
    </row>
    <row r="223" spans="3:3">
      <c r="C223" s="20"/>
    </row>
    <row r="224" spans="3:3">
      <c r="C224" s="20"/>
    </row>
    <row r="225" spans="3:3">
      <c r="C225" s="20"/>
    </row>
    <row r="226" spans="3:3">
      <c r="C226" s="20"/>
    </row>
    <row r="227" spans="3:3">
      <c r="C227" s="20"/>
    </row>
    <row r="228" spans="3:3">
      <c r="C228" s="20"/>
    </row>
    <row r="229" spans="3:3">
      <c r="C229" s="20"/>
    </row>
    <row r="230" spans="3:3">
      <c r="C230" s="20"/>
    </row>
    <row r="231" spans="3:3">
      <c r="C231" s="20"/>
    </row>
    <row r="232" spans="3:3">
      <c r="C232" s="20"/>
    </row>
    <row r="233" spans="3:3">
      <c r="C233" s="20"/>
    </row>
    <row r="234" spans="3:3">
      <c r="C234" s="20"/>
    </row>
    <row r="235" spans="3:3">
      <c r="C235" s="20"/>
    </row>
    <row r="236" spans="3:3">
      <c r="C236" s="20"/>
    </row>
    <row r="237" spans="3:3">
      <c r="C237" s="20"/>
    </row>
    <row r="238" spans="3:3">
      <c r="C238" s="20"/>
    </row>
    <row r="239" spans="3:3">
      <c r="C239" s="20"/>
    </row>
    <row r="240" spans="3:3">
      <c r="C240" s="20"/>
    </row>
    <row r="241" spans="3:3">
      <c r="C241" s="20"/>
    </row>
    <row r="242" spans="3:3">
      <c r="C242" s="20"/>
    </row>
    <row r="243" spans="3:3">
      <c r="C243" s="20"/>
    </row>
    <row r="244" spans="3:3">
      <c r="C244" s="20"/>
    </row>
    <row r="245" spans="3:3">
      <c r="C245" s="20"/>
    </row>
    <row r="246" spans="3:3">
      <c r="C246" s="20"/>
    </row>
    <row r="247" spans="3:3">
      <c r="C247" s="20"/>
    </row>
    <row r="248" spans="3:3">
      <c r="C248" s="20"/>
    </row>
    <row r="249" spans="3:3">
      <c r="C249" s="20"/>
    </row>
    <row r="250" spans="3:3">
      <c r="C250" s="20"/>
    </row>
    <row r="251" spans="3:3">
      <c r="C251" s="20"/>
    </row>
    <row r="252" spans="3:3">
      <c r="C252" s="20"/>
    </row>
    <row r="253" spans="3:3">
      <c r="C253" s="20"/>
    </row>
    <row r="254" spans="3:3">
      <c r="C254" s="20"/>
    </row>
    <row r="255" spans="3:3">
      <c r="C255" s="20"/>
    </row>
    <row r="256" spans="3:3">
      <c r="C256" s="20"/>
    </row>
    <row r="257" spans="3:3">
      <c r="C257" s="20"/>
    </row>
    <row r="258" spans="3:3">
      <c r="C258" s="20"/>
    </row>
    <row r="259" spans="3:3">
      <c r="C259" s="20"/>
    </row>
    <row r="260" spans="3:3">
      <c r="C260" s="20"/>
    </row>
    <row r="261" spans="3:3">
      <c r="C261" s="20"/>
    </row>
    <row r="262" spans="3:3">
      <c r="C262" s="20"/>
    </row>
    <row r="263" spans="3:3">
      <c r="C263" s="20"/>
    </row>
    <row r="264" spans="3:3">
      <c r="C264" s="20"/>
    </row>
    <row r="265" spans="3:3">
      <c r="C265" s="20"/>
    </row>
    <row r="266" spans="3:3">
      <c r="C266" s="20"/>
    </row>
    <row r="267" spans="3:3">
      <c r="C267" s="20"/>
    </row>
    <row r="268" spans="3:3">
      <c r="C268" s="20"/>
    </row>
    <row r="269" spans="3:3">
      <c r="C269" s="20"/>
    </row>
    <row r="270" spans="3:3">
      <c r="C270" s="20"/>
    </row>
    <row r="271" spans="3:3">
      <c r="C271" s="20"/>
    </row>
    <row r="272" spans="3:3">
      <c r="C272" s="20"/>
    </row>
    <row r="273" spans="3:3">
      <c r="C273" s="20"/>
    </row>
    <row r="274" spans="3:3">
      <c r="C274" s="20"/>
    </row>
    <row r="275" spans="3:3">
      <c r="C275" s="20"/>
    </row>
    <row r="276" spans="3:3">
      <c r="C276" s="20"/>
    </row>
    <row r="277" spans="3:3">
      <c r="C277" s="20"/>
    </row>
    <row r="278" spans="3:3">
      <c r="C278" s="20"/>
    </row>
    <row r="279" spans="3:3">
      <c r="C279" s="20"/>
    </row>
    <row r="280" spans="3:3">
      <c r="C280" s="20"/>
    </row>
    <row r="281" spans="3:3">
      <c r="C281" s="20"/>
    </row>
    <row r="282" spans="3:3">
      <c r="C282" s="20"/>
    </row>
    <row r="283" spans="3:3">
      <c r="C283" s="20"/>
    </row>
    <row r="284" spans="3:3">
      <c r="C284" s="20"/>
    </row>
    <row r="285" spans="3:3">
      <c r="C285" s="20"/>
    </row>
    <row r="286" spans="3:3">
      <c r="C286" s="20"/>
    </row>
    <row r="287" spans="3:3">
      <c r="C287" s="20"/>
    </row>
    <row r="288" spans="3:3">
      <c r="C288" s="20"/>
    </row>
    <row r="289" spans="3:3">
      <c r="C289" s="20"/>
    </row>
    <row r="290" spans="3:3">
      <c r="C290" s="20"/>
    </row>
    <row r="291" spans="3:3">
      <c r="C291" s="20"/>
    </row>
    <row r="292" spans="3:3">
      <c r="C292" s="20"/>
    </row>
    <row r="293" spans="3:3">
      <c r="C293" s="20"/>
    </row>
    <row r="294" spans="3:3">
      <c r="C294" s="20"/>
    </row>
    <row r="295" spans="3:3">
      <c r="C295" s="20"/>
    </row>
    <row r="296" spans="3:3">
      <c r="C296" s="20"/>
    </row>
    <row r="297" spans="3:3">
      <c r="C297" s="20"/>
    </row>
    <row r="298" spans="3:3">
      <c r="C298" s="20"/>
    </row>
    <row r="299" spans="3:3">
      <c r="C299" s="20"/>
    </row>
    <row r="300" spans="3:3">
      <c r="C300" s="20"/>
    </row>
    <row r="301" spans="3:3">
      <c r="C301" s="20"/>
    </row>
    <row r="302" spans="3:3">
      <c r="C302" s="20"/>
    </row>
    <row r="303" spans="3:3">
      <c r="C303" s="20"/>
    </row>
    <row r="304" spans="3:3">
      <c r="C304" s="20"/>
    </row>
    <row r="305" spans="3:3">
      <c r="C305" s="20"/>
    </row>
    <row r="306" spans="3:3">
      <c r="C306" s="20"/>
    </row>
    <row r="307" spans="3:3">
      <c r="C307" s="20"/>
    </row>
    <row r="308" spans="3:3">
      <c r="C308" s="20"/>
    </row>
    <row r="309" spans="3:3">
      <c r="C309" s="20"/>
    </row>
    <row r="310" spans="3:3">
      <c r="C310" s="20"/>
    </row>
    <row r="311" spans="3:3">
      <c r="C311" s="20"/>
    </row>
    <row r="312" spans="3:3">
      <c r="C312" s="20"/>
    </row>
    <row r="313" spans="3:3">
      <c r="C313" s="20"/>
    </row>
    <row r="314" spans="3:3">
      <c r="C314" s="20"/>
    </row>
    <row r="315" spans="3:3">
      <c r="C315" s="20"/>
    </row>
    <row r="316" spans="3:3">
      <c r="C316" s="20"/>
    </row>
    <row r="317" spans="3:3">
      <c r="C317" s="20"/>
    </row>
    <row r="318" spans="3:3">
      <c r="C318" s="20"/>
    </row>
    <row r="319" spans="3:3">
      <c r="C319" s="20"/>
    </row>
    <row r="320" spans="3:3">
      <c r="C320" s="20"/>
    </row>
    <row r="321" spans="3:3">
      <c r="C321" s="20"/>
    </row>
    <row r="322" spans="3:3">
      <c r="C322" s="20"/>
    </row>
    <row r="323" spans="3:3">
      <c r="C323" s="20"/>
    </row>
    <row r="324" spans="3:3">
      <c r="C324" s="20"/>
    </row>
    <row r="325" spans="3:3">
      <c r="C325" s="20"/>
    </row>
    <row r="326" spans="3:3">
      <c r="C326" s="20"/>
    </row>
    <row r="327" spans="3:3">
      <c r="C327" s="20"/>
    </row>
    <row r="328" spans="3:3">
      <c r="C328" s="20"/>
    </row>
    <row r="329" spans="3:3">
      <c r="C329" s="20"/>
    </row>
    <row r="330" spans="3:3">
      <c r="C330" s="20"/>
    </row>
    <row r="331" spans="3:3">
      <c r="C331" s="20"/>
    </row>
    <row r="332" spans="3:3">
      <c r="C332" s="20"/>
    </row>
    <row r="333" spans="3:3">
      <c r="C333" s="20"/>
    </row>
    <row r="334" spans="3:3">
      <c r="C334" s="20"/>
    </row>
    <row r="335" spans="3:3">
      <c r="C335" s="20"/>
    </row>
    <row r="336" spans="3:3">
      <c r="C336" s="20"/>
    </row>
    <row r="337" spans="3:3">
      <c r="C337" s="20"/>
    </row>
    <row r="338" spans="3:3">
      <c r="C338" s="20"/>
    </row>
    <row r="339" spans="3:3">
      <c r="C339" s="20"/>
    </row>
    <row r="340" spans="3:3">
      <c r="C340" s="20"/>
    </row>
    <row r="341" spans="3:3">
      <c r="C341" s="20"/>
    </row>
    <row r="342" spans="3:3">
      <c r="C342" s="20"/>
    </row>
    <row r="343" spans="3:3">
      <c r="C343" s="20"/>
    </row>
    <row r="344" spans="3:3">
      <c r="C344" s="20"/>
    </row>
    <row r="345" spans="3:3">
      <c r="C345" s="20"/>
    </row>
    <row r="346" spans="3:3">
      <c r="C346" s="20"/>
    </row>
    <row r="347" spans="3:3">
      <c r="C347" s="20"/>
    </row>
    <row r="348" spans="3:3">
      <c r="C348" s="20"/>
    </row>
    <row r="349" spans="3:3">
      <c r="C349" s="20"/>
    </row>
    <row r="350" spans="3:3">
      <c r="C350" s="20"/>
    </row>
    <row r="351" spans="3:3">
      <c r="C351" s="20"/>
    </row>
    <row r="352" spans="3:3">
      <c r="C352" s="20"/>
    </row>
    <row r="353" spans="3:3">
      <c r="C353" s="20"/>
    </row>
    <row r="354" spans="3:3">
      <c r="C354" s="20"/>
    </row>
    <row r="355" spans="3:3">
      <c r="C355" s="20"/>
    </row>
    <row r="356" spans="3:3">
      <c r="C356" s="20"/>
    </row>
    <row r="357" spans="3:3">
      <c r="C357" s="20"/>
    </row>
    <row r="358" spans="3:3">
      <c r="C358" s="20"/>
    </row>
    <row r="359" spans="3:3">
      <c r="C359" s="20"/>
    </row>
    <row r="360" spans="3:3">
      <c r="C360" s="20"/>
    </row>
    <row r="361" spans="3:3">
      <c r="C361" s="20"/>
    </row>
    <row r="362" spans="3:3">
      <c r="C362" s="20"/>
    </row>
    <row r="363" spans="3:3">
      <c r="C363" s="20"/>
    </row>
    <row r="364" spans="3:3">
      <c r="C364" s="20"/>
    </row>
    <row r="365" spans="3:3">
      <c r="C365" s="20"/>
    </row>
    <row r="366" spans="3:3">
      <c r="C366" s="20"/>
    </row>
    <row r="367" spans="3:3">
      <c r="C367" s="20"/>
    </row>
    <row r="368" spans="3:3">
      <c r="C368" s="20"/>
    </row>
    <row r="369" spans="3:3">
      <c r="C369" s="20"/>
    </row>
    <row r="370" spans="3:3">
      <c r="C370" s="20"/>
    </row>
    <row r="371" spans="3:3">
      <c r="C371" s="20"/>
    </row>
    <row r="372" spans="3:3">
      <c r="C372" s="20"/>
    </row>
    <row r="373" spans="3:3">
      <c r="C373" s="20"/>
    </row>
    <row r="374" spans="3:3">
      <c r="C374" s="20"/>
    </row>
    <row r="375" spans="3:3">
      <c r="C375" s="20"/>
    </row>
    <row r="376" spans="3:3">
      <c r="C376" s="20"/>
    </row>
    <row r="377" spans="3:3">
      <c r="C377" s="20"/>
    </row>
    <row r="378" spans="3:3">
      <c r="C378" s="20"/>
    </row>
    <row r="379" spans="3:3">
      <c r="C379" s="20"/>
    </row>
    <row r="380" spans="3:3">
      <c r="C380" s="20"/>
    </row>
    <row r="381" spans="3:3">
      <c r="C381" s="20"/>
    </row>
    <row r="382" spans="3:3">
      <c r="C382" s="20"/>
    </row>
    <row r="383" spans="3:3">
      <c r="C383" s="20"/>
    </row>
    <row r="384" spans="3:3">
      <c r="C384" s="20"/>
    </row>
    <row r="385" spans="3:3">
      <c r="C385" s="20"/>
    </row>
    <row r="386" spans="3:3">
      <c r="C386" s="20"/>
    </row>
    <row r="387" spans="3:3">
      <c r="C387" s="20"/>
    </row>
    <row r="388" spans="3:3">
      <c r="C388" s="20"/>
    </row>
    <row r="389" spans="3:3">
      <c r="C389" s="20"/>
    </row>
    <row r="390" spans="3:3">
      <c r="C390" s="20"/>
    </row>
    <row r="391" spans="3:3">
      <c r="C391" s="20"/>
    </row>
    <row r="392" spans="3:3">
      <c r="C392" s="20"/>
    </row>
    <row r="393" spans="3:3">
      <c r="C393" s="20"/>
    </row>
    <row r="394" spans="3:3">
      <c r="C394" s="20"/>
    </row>
    <row r="395" spans="3:3">
      <c r="C395" s="20"/>
    </row>
    <row r="396" spans="3:3">
      <c r="C396" s="20"/>
    </row>
    <row r="397" spans="3:3">
      <c r="C397" s="20"/>
    </row>
    <row r="398" spans="3:3">
      <c r="C398" s="20"/>
    </row>
    <row r="399" spans="3:3">
      <c r="C399" s="20"/>
    </row>
    <row r="400" spans="3:3">
      <c r="C400" s="20"/>
    </row>
    <row r="401" spans="3:3">
      <c r="C401" s="20"/>
    </row>
    <row r="402" spans="3:3">
      <c r="C402" s="20"/>
    </row>
    <row r="403" spans="3:3">
      <c r="C403" s="20"/>
    </row>
    <row r="404" spans="3:3">
      <c r="C404" s="20"/>
    </row>
    <row r="405" spans="3:3">
      <c r="C405" s="20"/>
    </row>
    <row r="406" spans="3:3">
      <c r="C406" s="20"/>
    </row>
    <row r="407" spans="3:3">
      <c r="C407" s="20"/>
    </row>
    <row r="408" spans="3:3">
      <c r="C408" s="20"/>
    </row>
    <row r="409" spans="3:3">
      <c r="C409" s="20"/>
    </row>
    <row r="410" spans="3:3">
      <c r="C410" s="20"/>
    </row>
    <row r="411" spans="3:3">
      <c r="C411" s="20"/>
    </row>
    <row r="412" spans="3:3">
      <c r="C412" s="20"/>
    </row>
    <row r="413" spans="3:3">
      <c r="C413" s="20"/>
    </row>
    <row r="414" spans="3:3">
      <c r="C414" s="20"/>
    </row>
    <row r="415" spans="3:3">
      <c r="C415" s="20"/>
    </row>
    <row r="416" spans="3:3">
      <c r="C416" s="20"/>
    </row>
    <row r="417" spans="3:3">
      <c r="C417" s="20"/>
    </row>
    <row r="418" spans="3:3">
      <c r="C418" s="20"/>
    </row>
    <row r="419" spans="3:3">
      <c r="C419" s="20"/>
    </row>
    <row r="420" spans="3:3">
      <c r="C420" s="20"/>
    </row>
    <row r="421" spans="3:3">
      <c r="C421" s="20"/>
    </row>
    <row r="422" spans="3:3">
      <c r="C422" s="20"/>
    </row>
    <row r="423" spans="3:3">
      <c r="C423" s="20"/>
    </row>
    <row r="424" spans="3:3">
      <c r="C424" s="20"/>
    </row>
    <row r="425" spans="3:3">
      <c r="C425" s="20"/>
    </row>
    <row r="426" spans="3:3">
      <c r="C426" s="20"/>
    </row>
    <row r="427" spans="3:3">
      <c r="C427" s="20"/>
    </row>
    <row r="428" spans="3:3">
      <c r="C428" s="20"/>
    </row>
    <row r="429" spans="3:3">
      <c r="C429" s="20"/>
    </row>
    <row r="430" spans="3:3">
      <c r="C430" s="20"/>
    </row>
    <row r="431" spans="3:3">
      <c r="C431" s="20"/>
    </row>
    <row r="432" spans="3:3">
      <c r="C432" s="20"/>
    </row>
    <row r="433" spans="3:3">
      <c r="C433" s="20"/>
    </row>
    <row r="434" spans="3:3">
      <c r="C434" s="20"/>
    </row>
    <row r="435" spans="3:3">
      <c r="C435" s="20"/>
    </row>
    <row r="436" spans="3:3">
      <c r="C436" s="20"/>
    </row>
    <row r="437" spans="3:3">
      <c r="C437" s="20"/>
    </row>
    <row r="438" spans="3:3">
      <c r="C438" s="20"/>
    </row>
    <row r="439" spans="3:3">
      <c r="C439" s="20"/>
    </row>
    <row r="440" spans="3:3">
      <c r="C440" s="20"/>
    </row>
    <row r="441" spans="3:3">
      <c r="C441" s="20"/>
    </row>
    <row r="442" spans="3:3">
      <c r="C442" s="20"/>
    </row>
    <row r="443" spans="3:3">
      <c r="C443" s="20"/>
    </row>
    <row r="444" spans="3:3">
      <c r="C444" s="20"/>
    </row>
    <row r="445" spans="3:3">
      <c r="C445" s="20"/>
    </row>
    <row r="446" spans="3:3">
      <c r="C446" s="20"/>
    </row>
    <row r="447" spans="3:3">
      <c r="C447" s="20"/>
    </row>
    <row r="448" spans="3:3">
      <c r="C448" s="20"/>
    </row>
    <row r="449" spans="3:3">
      <c r="C449" s="20"/>
    </row>
    <row r="450" spans="3:3">
      <c r="C450" s="20"/>
    </row>
    <row r="451" spans="3:3">
      <c r="C451" s="20"/>
    </row>
    <row r="452" spans="3:3">
      <c r="C452" s="20"/>
    </row>
    <row r="453" spans="3:3">
      <c r="C453" s="20"/>
    </row>
    <row r="454" spans="3:3">
      <c r="C454" s="20"/>
    </row>
    <row r="455" spans="3:3">
      <c r="C455" s="20"/>
    </row>
    <row r="456" spans="3:3">
      <c r="C456" s="20"/>
    </row>
    <row r="457" spans="3:3">
      <c r="C457" s="20"/>
    </row>
    <row r="458" spans="3:3">
      <c r="C458" s="20"/>
    </row>
    <row r="459" spans="3:3">
      <c r="C459" s="20"/>
    </row>
    <row r="460" spans="3:3">
      <c r="C460" s="20"/>
    </row>
    <row r="461" spans="3:3">
      <c r="C461" s="20"/>
    </row>
    <row r="462" spans="3:3">
      <c r="C462" s="20"/>
    </row>
    <row r="463" spans="3:3">
      <c r="C463" s="20"/>
    </row>
    <row r="464" spans="3:3">
      <c r="C464" s="20"/>
    </row>
    <row r="465" spans="3:3">
      <c r="C465" s="20"/>
    </row>
    <row r="466" spans="3:3">
      <c r="C466" s="20"/>
    </row>
    <row r="467" spans="3:3">
      <c r="C467" s="20"/>
    </row>
    <row r="468" spans="3:3">
      <c r="C468" s="20"/>
    </row>
    <row r="469" spans="3:3">
      <c r="C469" s="20"/>
    </row>
    <row r="470" spans="3:3">
      <c r="C470" s="20"/>
    </row>
    <row r="471" spans="3:3">
      <c r="C471" s="20"/>
    </row>
    <row r="472" spans="3:3">
      <c r="C472" s="20"/>
    </row>
    <row r="473" spans="3:3">
      <c r="C473" s="20"/>
    </row>
    <row r="474" spans="3:3">
      <c r="C474" s="20"/>
    </row>
    <row r="475" spans="3:3">
      <c r="C475" s="20"/>
    </row>
    <row r="476" spans="3:3">
      <c r="C476" s="20"/>
    </row>
    <row r="477" spans="3:3">
      <c r="C477" s="20"/>
    </row>
    <row r="478" spans="3:3">
      <c r="C478" s="20"/>
    </row>
    <row r="479" spans="3:3">
      <c r="C479" s="20"/>
    </row>
    <row r="480" spans="3:3">
      <c r="C480" s="20"/>
    </row>
    <row r="481" spans="3:3">
      <c r="C481" s="20"/>
    </row>
    <row r="482" spans="3:3">
      <c r="C482" s="20"/>
    </row>
    <row r="483" spans="3:3">
      <c r="C483" s="20"/>
    </row>
    <row r="484" spans="3:3">
      <c r="C484" s="20"/>
    </row>
    <row r="485" spans="3:3">
      <c r="C485" s="20"/>
    </row>
    <row r="486" spans="3:3">
      <c r="C486" s="20"/>
    </row>
    <row r="487" spans="3:3">
      <c r="C487" s="20"/>
    </row>
    <row r="488" spans="3:3">
      <c r="C488" s="20"/>
    </row>
    <row r="489" spans="3:3">
      <c r="C489" s="20"/>
    </row>
    <row r="490" spans="3:3">
      <c r="C490" s="20"/>
    </row>
    <row r="491" spans="3:3">
      <c r="C491" s="20"/>
    </row>
    <row r="492" spans="3:3">
      <c r="C492" s="20"/>
    </row>
    <row r="493" spans="3:3">
      <c r="C493" s="20"/>
    </row>
    <row r="494" spans="3:3">
      <c r="C494" s="20"/>
    </row>
    <row r="495" spans="3:3">
      <c r="C495" s="20"/>
    </row>
    <row r="496" spans="3:3">
      <c r="C496" s="20"/>
    </row>
    <row r="497" spans="3:3">
      <c r="C497" s="20"/>
    </row>
    <row r="498" spans="3:3">
      <c r="C498" s="20"/>
    </row>
    <row r="499" spans="3:3">
      <c r="C499" s="20"/>
    </row>
    <row r="500" spans="3:3">
      <c r="C500" s="20"/>
    </row>
    <row r="501" spans="3:3">
      <c r="C501" s="20"/>
    </row>
    <row r="502" spans="3:3">
      <c r="C502" s="20"/>
    </row>
    <row r="503" spans="3:3">
      <c r="C503" s="20"/>
    </row>
    <row r="504" spans="3:3">
      <c r="C504" s="20"/>
    </row>
    <row r="505" spans="3:3">
      <c r="C505" s="20"/>
    </row>
    <row r="506" spans="3:3">
      <c r="C506" s="20"/>
    </row>
    <row r="507" spans="3:3">
      <c r="C507" s="20"/>
    </row>
    <row r="508" spans="3:3">
      <c r="C508" s="20"/>
    </row>
    <row r="509" spans="3:3">
      <c r="C509" s="20"/>
    </row>
    <row r="510" spans="3:3">
      <c r="C510" s="20"/>
    </row>
    <row r="511" spans="3:3">
      <c r="C511" s="20"/>
    </row>
    <row r="512" spans="3:3">
      <c r="C512" s="20"/>
    </row>
    <row r="513" spans="3:3">
      <c r="C513" s="20"/>
    </row>
    <row r="514" spans="3:3">
      <c r="C514" s="20"/>
    </row>
    <row r="515" spans="3:3">
      <c r="C515" s="20"/>
    </row>
    <row r="516" spans="3:3">
      <c r="C516" s="20"/>
    </row>
    <row r="517" spans="3:3">
      <c r="C517" s="20"/>
    </row>
    <row r="518" spans="3:3">
      <c r="C518" s="20"/>
    </row>
    <row r="519" spans="3:3">
      <c r="C519" s="20"/>
    </row>
    <row r="520" spans="3:3">
      <c r="C520" s="20"/>
    </row>
    <row r="521" spans="3:3">
      <c r="C521" s="20"/>
    </row>
    <row r="522" spans="3:3">
      <c r="C522" s="20"/>
    </row>
    <row r="523" spans="3:3">
      <c r="C523" s="20"/>
    </row>
    <row r="524" spans="3:3">
      <c r="C524" s="20"/>
    </row>
    <row r="525" spans="3:3">
      <c r="C525" s="20"/>
    </row>
    <row r="526" spans="3:3">
      <c r="C526" s="20"/>
    </row>
    <row r="527" spans="3:3">
      <c r="C527" s="20"/>
    </row>
    <row r="528" spans="3:3">
      <c r="C528" s="20"/>
    </row>
    <row r="529" spans="3:3">
      <c r="C529" s="20"/>
    </row>
    <row r="530" spans="3:3">
      <c r="C530" s="20"/>
    </row>
    <row r="531" spans="3:3">
      <c r="C531" s="20"/>
    </row>
    <row r="532" spans="3:3">
      <c r="C532" s="20"/>
    </row>
    <row r="533" spans="3:3">
      <c r="C533" s="20"/>
    </row>
    <row r="534" spans="3:3">
      <c r="C534" s="20"/>
    </row>
    <row r="535" spans="3:3">
      <c r="C535" s="20"/>
    </row>
    <row r="536" spans="3:3">
      <c r="C536" s="20"/>
    </row>
    <row r="537" spans="3:3">
      <c r="C537" s="20"/>
    </row>
    <row r="538" spans="3:3">
      <c r="C538" s="20"/>
    </row>
    <row r="539" spans="3:3">
      <c r="C539" s="20"/>
    </row>
    <row r="540" spans="3:3">
      <c r="C540" s="20"/>
    </row>
    <row r="541" spans="3:3">
      <c r="C541" s="20"/>
    </row>
    <row r="542" spans="3:3">
      <c r="C542" s="20"/>
    </row>
    <row r="543" spans="3:3">
      <c r="C543" s="20"/>
    </row>
    <row r="544" spans="3:3">
      <c r="C544" s="20"/>
    </row>
    <row r="545" spans="3:3">
      <c r="C545" s="20"/>
    </row>
    <row r="546" spans="3:3">
      <c r="C546" s="20"/>
    </row>
    <row r="547" spans="3:3">
      <c r="C547" s="20"/>
    </row>
    <row r="548" spans="3:3">
      <c r="C548" s="20"/>
    </row>
    <row r="549" spans="3:3">
      <c r="C549" s="20"/>
    </row>
    <row r="550" spans="3:3">
      <c r="C550" s="20"/>
    </row>
    <row r="551" spans="3:3">
      <c r="C551" s="20"/>
    </row>
    <row r="552" spans="3:3">
      <c r="C552" s="20"/>
    </row>
    <row r="553" spans="3:3">
      <c r="C553" s="20"/>
    </row>
    <row r="554" spans="3:3">
      <c r="C554" s="20"/>
    </row>
    <row r="555" spans="3:3">
      <c r="C555" s="20"/>
    </row>
    <row r="556" spans="3:3">
      <c r="C556" s="20"/>
    </row>
    <row r="557" spans="3:3">
      <c r="C557" s="20"/>
    </row>
    <row r="558" spans="3:3">
      <c r="C558" s="20"/>
    </row>
    <row r="559" spans="3:3">
      <c r="C559" s="20"/>
    </row>
    <row r="560" spans="3:3">
      <c r="C560" s="20"/>
    </row>
    <row r="561" spans="3:3">
      <c r="C561" s="20"/>
    </row>
    <row r="562" spans="3:3">
      <c r="C562" s="20"/>
    </row>
    <row r="563" spans="3:3">
      <c r="C563" s="20"/>
    </row>
    <row r="564" spans="3:3">
      <c r="C564" s="20"/>
    </row>
    <row r="565" spans="3:3">
      <c r="C565" s="20"/>
    </row>
    <row r="566" spans="3:3">
      <c r="C566" s="20"/>
    </row>
    <row r="567" spans="3:3">
      <c r="C567" s="20"/>
    </row>
    <row r="568" spans="3:3">
      <c r="C568" s="20"/>
    </row>
    <row r="569" spans="3:3">
      <c r="C569" s="20"/>
    </row>
    <row r="570" spans="3:3">
      <c r="C570" s="20"/>
    </row>
    <row r="571" spans="3:3">
      <c r="C571" s="20"/>
    </row>
    <row r="572" spans="3:3">
      <c r="C572" s="20"/>
    </row>
    <row r="573" spans="3:3">
      <c r="C573" s="20"/>
    </row>
    <row r="574" spans="3:3">
      <c r="C574" s="20"/>
    </row>
    <row r="575" spans="3:3">
      <c r="C575" s="20"/>
    </row>
    <row r="576" spans="3:3">
      <c r="C576" s="20"/>
    </row>
    <row r="577" spans="3:3">
      <c r="C577" s="20"/>
    </row>
    <row r="578" spans="3:3">
      <c r="C578" s="20"/>
    </row>
    <row r="579" spans="3:3">
      <c r="C579" s="20"/>
    </row>
    <row r="580" spans="3:3">
      <c r="C580" s="20"/>
    </row>
    <row r="581" spans="3:3">
      <c r="C581" s="20"/>
    </row>
    <row r="582" spans="3:3">
      <c r="C582" s="20"/>
    </row>
    <row r="583" spans="3:3">
      <c r="C583" s="20"/>
    </row>
    <row r="584" spans="3:3">
      <c r="C584" s="20"/>
    </row>
    <row r="585" spans="3:3">
      <c r="C585" s="20"/>
    </row>
    <row r="586" spans="3:3">
      <c r="C586" s="20"/>
    </row>
    <row r="587" spans="3:3">
      <c r="C587" s="20"/>
    </row>
    <row r="588" spans="3:3">
      <c r="C588" s="20"/>
    </row>
    <row r="589" spans="3:3">
      <c r="C589" s="20"/>
    </row>
    <row r="590" spans="3:3">
      <c r="C590" s="20"/>
    </row>
    <row r="591" spans="3:3">
      <c r="C591" s="20"/>
    </row>
    <row r="592" spans="3:3">
      <c r="C592" s="20"/>
    </row>
    <row r="593" spans="3:3">
      <c r="C593" s="20"/>
    </row>
    <row r="594" spans="3:3">
      <c r="C594" s="20"/>
    </row>
    <row r="595" spans="3:3">
      <c r="C595" s="20"/>
    </row>
    <row r="596" spans="3:3">
      <c r="C596" s="20"/>
    </row>
    <row r="597" spans="3:3">
      <c r="C597" s="20"/>
    </row>
    <row r="598" spans="3:3">
      <c r="C598" s="20"/>
    </row>
    <row r="599" spans="3:3">
      <c r="C599" s="20"/>
    </row>
    <row r="600" spans="3:3">
      <c r="C600" s="20"/>
    </row>
    <row r="601" spans="3:3">
      <c r="C601" s="20"/>
    </row>
    <row r="602" spans="3:3">
      <c r="C602" s="20"/>
    </row>
    <row r="603" spans="3:3">
      <c r="C603" s="20"/>
    </row>
    <row r="604" spans="3:3">
      <c r="C604" s="20"/>
    </row>
    <row r="605" spans="3:3">
      <c r="C605" s="20"/>
    </row>
    <row r="606" spans="3:3">
      <c r="C606" s="20"/>
    </row>
    <row r="607" spans="3:3">
      <c r="C607" s="20"/>
    </row>
    <row r="608" spans="3:3">
      <c r="C608" s="20"/>
    </row>
    <row r="609" spans="3:3">
      <c r="C609" s="20"/>
    </row>
    <row r="610" spans="3:3">
      <c r="C610" s="20"/>
    </row>
    <row r="611" spans="3:3">
      <c r="C611" s="20"/>
    </row>
    <row r="612" spans="3:3">
      <c r="C612" s="20"/>
    </row>
    <row r="613" spans="3:3">
      <c r="C613" s="20"/>
    </row>
    <row r="614" spans="3:3">
      <c r="C614" s="20"/>
    </row>
    <row r="615" spans="3:3">
      <c r="C615" s="20"/>
    </row>
    <row r="616" spans="3:3">
      <c r="C616" s="20"/>
    </row>
    <row r="617" spans="3:3">
      <c r="C617" s="20"/>
    </row>
    <row r="618" spans="3:3">
      <c r="C618" s="20"/>
    </row>
    <row r="619" spans="3:3">
      <c r="C619" s="20"/>
    </row>
    <row r="620" spans="3:3">
      <c r="C620" s="20"/>
    </row>
    <row r="621" spans="3:3">
      <c r="C621" s="20"/>
    </row>
    <row r="622" spans="3:3">
      <c r="C622" s="20"/>
    </row>
    <row r="623" spans="3:3">
      <c r="C623" s="20"/>
    </row>
    <row r="624" spans="3:3">
      <c r="C624" s="20"/>
    </row>
    <row r="625" spans="3:3">
      <c r="C625" s="20"/>
    </row>
    <row r="626" spans="3:3">
      <c r="C626" s="20"/>
    </row>
    <row r="627" spans="3:3">
      <c r="C627" s="20"/>
    </row>
    <row r="628" spans="3:3">
      <c r="C628" s="20"/>
    </row>
    <row r="629" spans="3:3">
      <c r="C629" s="20"/>
    </row>
    <row r="630" spans="3:3">
      <c r="C630" s="20"/>
    </row>
    <row r="631" spans="3:3">
      <c r="C631" s="20"/>
    </row>
    <row r="632" spans="3:3">
      <c r="C632" s="20"/>
    </row>
    <row r="633" spans="3:3">
      <c r="C633" s="20"/>
    </row>
    <row r="634" spans="3:3">
      <c r="C634" s="20"/>
    </row>
    <row r="635" spans="3:3">
      <c r="C635" s="20"/>
    </row>
    <row r="636" spans="3:3">
      <c r="C636" s="20"/>
    </row>
    <row r="637" spans="3:3">
      <c r="C637" s="20"/>
    </row>
    <row r="638" spans="3:3">
      <c r="C638" s="20"/>
    </row>
    <row r="639" spans="3:3">
      <c r="C639" s="20"/>
    </row>
    <row r="640" spans="3:3">
      <c r="C640" s="20"/>
    </row>
    <row r="641" spans="3:3">
      <c r="C641" s="20"/>
    </row>
    <row r="642" spans="3:3">
      <c r="C642" s="20"/>
    </row>
    <row r="643" spans="3:3">
      <c r="C643" s="20"/>
    </row>
    <row r="644" spans="3:3">
      <c r="C644" s="20"/>
    </row>
    <row r="645" spans="3:3">
      <c r="C645" s="20"/>
    </row>
    <row r="646" spans="3:3">
      <c r="C646" s="20"/>
    </row>
    <row r="647" spans="3:3">
      <c r="C647" s="20"/>
    </row>
    <row r="648" spans="3:3">
      <c r="C648" s="20"/>
    </row>
    <row r="649" spans="3:3">
      <c r="C649" s="20"/>
    </row>
    <row r="650" spans="3:3">
      <c r="C650" s="20"/>
    </row>
    <row r="651" spans="3:3">
      <c r="C651" s="20"/>
    </row>
    <row r="652" spans="3:3">
      <c r="C652" s="20"/>
    </row>
    <row r="653" spans="3:3">
      <c r="C653" s="20"/>
    </row>
    <row r="654" spans="3:3">
      <c r="C654" s="20"/>
    </row>
    <row r="655" spans="3:3">
      <c r="C655" s="20"/>
    </row>
    <row r="656" spans="3:3">
      <c r="C656" s="20"/>
    </row>
    <row r="657" spans="3:3">
      <c r="C657" s="20"/>
    </row>
    <row r="658" spans="3:3">
      <c r="C658" s="20"/>
    </row>
    <row r="659" spans="3:3">
      <c r="C659" s="20"/>
    </row>
    <row r="660" spans="3:3">
      <c r="C660" s="20"/>
    </row>
    <row r="661" spans="3:3">
      <c r="C661" s="20"/>
    </row>
    <row r="662" spans="3:3">
      <c r="C662" s="20"/>
    </row>
    <row r="663" spans="3:3">
      <c r="C663" s="20"/>
    </row>
    <row r="664" spans="3:3">
      <c r="C664" s="20"/>
    </row>
    <row r="665" spans="3:3">
      <c r="C665" s="20"/>
    </row>
    <row r="666" spans="3:3">
      <c r="C666" s="20"/>
    </row>
    <row r="667" spans="3:3">
      <c r="C667" s="20"/>
    </row>
    <row r="668" spans="3:3">
      <c r="C668" s="20"/>
    </row>
    <row r="669" spans="3:3">
      <c r="C669" s="20"/>
    </row>
    <row r="670" spans="3:3">
      <c r="C670" s="20"/>
    </row>
    <row r="671" spans="3:3">
      <c r="C671" s="20"/>
    </row>
    <row r="672" spans="3:3">
      <c r="C672" s="20"/>
    </row>
    <row r="673" spans="3:3">
      <c r="C673" s="20"/>
    </row>
    <row r="674" spans="3:3">
      <c r="C674" s="20"/>
    </row>
    <row r="675" spans="3:3">
      <c r="C675" s="20"/>
    </row>
    <row r="676" spans="3:3">
      <c r="C676" s="20"/>
    </row>
    <row r="677" spans="3:3">
      <c r="C677" s="20"/>
    </row>
    <row r="678" spans="3:3">
      <c r="C678" s="20"/>
    </row>
    <row r="679" spans="3:3">
      <c r="C679" s="20"/>
    </row>
    <row r="680" spans="3:3">
      <c r="C680" s="20"/>
    </row>
    <row r="681" spans="3:3">
      <c r="C681" s="20"/>
    </row>
    <row r="682" spans="3:3">
      <c r="C682" s="20"/>
    </row>
    <row r="683" spans="3:3">
      <c r="C683" s="20"/>
    </row>
    <row r="684" spans="3:3">
      <c r="C684" s="20"/>
    </row>
    <row r="685" spans="3:3">
      <c r="C685" s="20"/>
    </row>
    <row r="686" spans="3:3">
      <c r="C686" s="20"/>
    </row>
    <row r="687" spans="3:3">
      <c r="C687" s="20"/>
    </row>
    <row r="688" spans="3:3">
      <c r="C688" s="20"/>
    </row>
    <row r="689" spans="3:3">
      <c r="C689" s="20"/>
    </row>
    <row r="690" spans="3:3">
      <c r="C690" s="20"/>
    </row>
    <row r="691" spans="3:3">
      <c r="C691" s="20"/>
    </row>
    <row r="692" spans="3:3">
      <c r="C692" s="20"/>
    </row>
    <row r="693" spans="3:3">
      <c r="C693" s="20"/>
    </row>
    <row r="694" spans="3:3">
      <c r="C694" s="20"/>
    </row>
    <row r="695" spans="3:3">
      <c r="C695" s="20"/>
    </row>
    <row r="696" spans="3:3">
      <c r="C696" s="20"/>
    </row>
    <row r="697" spans="3:3">
      <c r="C697" s="20"/>
    </row>
    <row r="698" spans="3:3">
      <c r="C698" s="20"/>
    </row>
    <row r="699" spans="3:3">
      <c r="C699" s="20"/>
    </row>
    <row r="700" spans="3:3">
      <c r="C700" s="20"/>
    </row>
    <row r="701" spans="3:3">
      <c r="C701" s="20"/>
    </row>
    <row r="702" spans="3:3">
      <c r="C702" s="20"/>
    </row>
    <row r="703" spans="3:3">
      <c r="C703" s="20"/>
    </row>
    <row r="704" spans="3:3">
      <c r="C704" s="20"/>
    </row>
    <row r="705" spans="3:3">
      <c r="C705" s="20"/>
    </row>
    <row r="706" spans="3:3">
      <c r="C706" s="20"/>
    </row>
    <row r="707" spans="3:3">
      <c r="C707" s="20"/>
    </row>
    <row r="708" spans="3:3">
      <c r="C708" s="20"/>
    </row>
    <row r="709" spans="3:3">
      <c r="C709" s="20"/>
    </row>
    <row r="710" spans="3:3">
      <c r="C710" s="20"/>
    </row>
    <row r="711" spans="3:3">
      <c r="C711" s="20"/>
    </row>
    <row r="712" spans="3:3">
      <c r="C712" s="20"/>
    </row>
    <row r="713" spans="3:3">
      <c r="C713" s="20"/>
    </row>
    <row r="714" spans="3:3">
      <c r="C714" s="20"/>
    </row>
    <row r="715" spans="3:3">
      <c r="C715" s="20"/>
    </row>
    <row r="716" spans="3:3">
      <c r="C716" s="20"/>
    </row>
    <row r="717" spans="3:3">
      <c r="C717" s="20"/>
    </row>
    <row r="718" spans="3:3">
      <c r="C718" s="20"/>
    </row>
    <row r="719" spans="3:3">
      <c r="C719" s="20"/>
    </row>
    <row r="720" spans="3:3">
      <c r="C720" s="20"/>
    </row>
    <row r="721" spans="3:3">
      <c r="C721" s="20"/>
    </row>
    <row r="722" spans="3:3">
      <c r="C722" s="20"/>
    </row>
    <row r="723" spans="3:3">
      <c r="C723" s="20"/>
    </row>
    <row r="724" spans="3:3">
      <c r="C724" s="20"/>
    </row>
    <row r="725" spans="3:3">
      <c r="C725" s="20"/>
    </row>
    <row r="726" spans="3:3">
      <c r="C726" s="20"/>
    </row>
    <row r="727" spans="3:3">
      <c r="C727" s="20"/>
    </row>
    <row r="728" spans="3:3">
      <c r="C728" s="20"/>
    </row>
    <row r="729" spans="3:3">
      <c r="C729" s="20"/>
    </row>
    <row r="730" spans="3:3">
      <c r="C730" s="20"/>
    </row>
    <row r="731" spans="3:3">
      <c r="C731" s="20"/>
    </row>
    <row r="732" spans="3:3">
      <c r="C732" s="20"/>
    </row>
    <row r="733" spans="3:3">
      <c r="C733" s="20"/>
    </row>
    <row r="734" spans="3:3">
      <c r="C734" s="20"/>
    </row>
    <row r="735" spans="3:3">
      <c r="C735" s="20"/>
    </row>
    <row r="736" spans="3:3">
      <c r="C736" s="20"/>
    </row>
    <row r="737" spans="3:3">
      <c r="C737" s="20"/>
    </row>
    <row r="738" spans="3:3">
      <c r="C738" s="20"/>
    </row>
    <row r="739" spans="3:3">
      <c r="C739" s="20"/>
    </row>
    <row r="740" spans="3:3">
      <c r="C740" s="20"/>
    </row>
    <row r="741" spans="3:3">
      <c r="C741" s="20"/>
    </row>
    <row r="742" spans="3:3">
      <c r="C742" s="20"/>
    </row>
    <row r="743" spans="3:3">
      <c r="C743" s="20"/>
    </row>
    <row r="744" spans="3:3">
      <c r="C744" s="20"/>
    </row>
    <row r="745" spans="3:3">
      <c r="C745" s="20"/>
    </row>
    <row r="746" spans="3:3">
      <c r="C746" s="20"/>
    </row>
    <row r="747" spans="3:3">
      <c r="C747" s="20"/>
    </row>
    <row r="748" spans="3:3">
      <c r="C748" s="20"/>
    </row>
    <row r="749" spans="3:3">
      <c r="C749" s="20"/>
    </row>
    <row r="750" spans="3:3">
      <c r="C750" s="20"/>
    </row>
    <row r="751" spans="3:3">
      <c r="C751" s="20"/>
    </row>
    <row r="752" spans="3:3">
      <c r="C752" s="20"/>
    </row>
    <row r="753" spans="3:3">
      <c r="C753" s="20"/>
    </row>
    <row r="754" spans="3:3">
      <c r="C754" s="20"/>
    </row>
    <row r="755" spans="3:3">
      <c r="C755" s="20"/>
    </row>
    <row r="756" spans="3:3">
      <c r="C756" s="20"/>
    </row>
    <row r="757" spans="3:3">
      <c r="C757" s="20"/>
    </row>
    <row r="758" spans="3:3">
      <c r="C758" s="20"/>
    </row>
    <row r="759" spans="3:3">
      <c r="C759" s="20"/>
    </row>
    <row r="760" spans="3:3">
      <c r="C760" s="20"/>
    </row>
    <row r="761" spans="3:3">
      <c r="C761" s="20"/>
    </row>
    <row r="762" spans="3:3">
      <c r="C762" s="20"/>
    </row>
    <row r="763" spans="3:3">
      <c r="C763" s="20"/>
    </row>
    <row r="764" spans="3:3">
      <c r="C764" s="20"/>
    </row>
    <row r="765" spans="3:3">
      <c r="C765" s="20"/>
    </row>
    <row r="766" spans="3:3">
      <c r="C766" s="20"/>
    </row>
    <row r="767" spans="3:3">
      <c r="C767" s="20"/>
    </row>
    <row r="768" spans="3:3">
      <c r="C768" s="20"/>
    </row>
    <row r="769" spans="3:3">
      <c r="C769" s="20"/>
    </row>
    <row r="770" spans="3:3">
      <c r="C770" s="20"/>
    </row>
    <row r="771" spans="3:3">
      <c r="C771" s="20"/>
    </row>
    <row r="772" spans="3:3">
      <c r="C772" s="20"/>
    </row>
    <row r="773" spans="3:3">
      <c r="C773" s="20"/>
    </row>
    <row r="774" spans="3:3">
      <c r="C774" s="20"/>
    </row>
    <row r="775" spans="3:3">
      <c r="C775" s="20"/>
    </row>
    <row r="776" spans="3:3">
      <c r="C776" s="20"/>
    </row>
    <row r="777" spans="3:3">
      <c r="C777" s="20"/>
    </row>
    <row r="778" spans="3:3">
      <c r="C778" s="20"/>
    </row>
    <row r="779" spans="3:3">
      <c r="C779" s="20"/>
    </row>
    <row r="780" spans="3:3">
      <c r="C780" s="20"/>
    </row>
    <row r="781" spans="3:3">
      <c r="C781" s="20"/>
    </row>
    <row r="782" spans="3:3">
      <c r="C782" s="20"/>
    </row>
    <row r="783" spans="3:3">
      <c r="C783" s="20"/>
    </row>
    <row r="784" spans="3:3">
      <c r="C784" s="20"/>
    </row>
    <row r="785" spans="3:3">
      <c r="C785" s="20"/>
    </row>
    <row r="786" spans="3:3">
      <c r="C786" s="20"/>
    </row>
    <row r="787" spans="3:3">
      <c r="C787" s="20"/>
    </row>
    <row r="788" spans="3:3">
      <c r="C788" s="20"/>
    </row>
    <row r="789" spans="3:3">
      <c r="C789" s="20"/>
    </row>
    <row r="790" spans="3:3">
      <c r="C790" s="20"/>
    </row>
    <row r="791" spans="3:3">
      <c r="C791" s="20"/>
    </row>
    <row r="792" spans="3:3">
      <c r="C792" s="20"/>
    </row>
    <row r="793" spans="3:3">
      <c r="C793" s="20"/>
    </row>
    <row r="794" spans="3:3">
      <c r="C794" s="20"/>
    </row>
    <row r="795" spans="3:3">
      <c r="C795" s="20"/>
    </row>
    <row r="796" spans="3:3">
      <c r="C796" s="20"/>
    </row>
    <row r="797" spans="3:3">
      <c r="C797" s="20"/>
    </row>
    <row r="798" spans="3:3">
      <c r="C798" s="20"/>
    </row>
    <row r="799" spans="3:3">
      <c r="C799" s="20"/>
    </row>
    <row r="800" spans="3:3">
      <c r="C800" s="20"/>
    </row>
    <row r="801" spans="3:3">
      <c r="C801" s="20"/>
    </row>
    <row r="802" spans="3:3">
      <c r="C802" s="20"/>
    </row>
    <row r="803" spans="3:3">
      <c r="C803" s="20"/>
    </row>
    <row r="804" spans="3:3">
      <c r="C804" s="20"/>
    </row>
    <row r="805" spans="3:3">
      <c r="C805" s="20"/>
    </row>
    <row r="806" spans="3:3">
      <c r="C806" s="20"/>
    </row>
    <row r="807" spans="3:3">
      <c r="C807" s="20"/>
    </row>
    <row r="808" spans="3:3">
      <c r="C808" s="20"/>
    </row>
    <row r="809" spans="3:3">
      <c r="C809" s="20"/>
    </row>
    <row r="810" spans="3:3">
      <c r="C810" s="20"/>
    </row>
    <row r="811" spans="3:3">
      <c r="C811" s="20"/>
    </row>
    <row r="812" spans="3:3">
      <c r="C812" s="20"/>
    </row>
    <row r="813" spans="3:3">
      <c r="C813" s="20"/>
    </row>
    <row r="814" spans="3:3">
      <c r="C814" s="20"/>
    </row>
    <row r="815" spans="3:3">
      <c r="C815" s="20"/>
    </row>
    <row r="816" spans="3:3">
      <c r="C816" s="20"/>
    </row>
    <row r="817" spans="3:3">
      <c r="C817" s="20"/>
    </row>
    <row r="818" spans="3:3">
      <c r="C818" s="20"/>
    </row>
    <row r="819" spans="3:3">
      <c r="C819" s="20"/>
    </row>
    <row r="820" spans="3:3">
      <c r="C820" s="20"/>
    </row>
    <row r="821" spans="3:3">
      <c r="C821" s="20"/>
    </row>
    <row r="822" spans="3:3">
      <c r="C822" s="20"/>
    </row>
    <row r="823" spans="3:3">
      <c r="C823" s="20"/>
    </row>
    <row r="824" spans="3:3">
      <c r="C824" s="20"/>
    </row>
    <row r="825" spans="3:3">
      <c r="C825" s="20"/>
    </row>
    <row r="826" spans="3:3">
      <c r="C826" s="20"/>
    </row>
    <row r="827" spans="3:3">
      <c r="C827" s="20"/>
    </row>
    <row r="828" spans="3:3">
      <c r="C828" s="20"/>
    </row>
    <row r="829" spans="3:3">
      <c r="C829" s="20"/>
    </row>
    <row r="830" spans="3:3">
      <c r="C830" s="20"/>
    </row>
    <row r="831" spans="3:3">
      <c r="C831" s="20"/>
    </row>
    <row r="832" spans="3:3">
      <c r="C832" s="20"/>
    </row>
    <row r="833" spans="3:3">
      <c r="C833" s="20"/>
    </row>
    <row r="834" spans="3:3">
      <c r="C834" s="20"/>
    </row>
    <row r="835" spans="3:3">
      <c r="C835" s="20"/>
    </row>
    <row r="836" spans="3:3">
      <c r="C836" s="20"/>
    </row>
    <row r="837" spans="3:3">
      <c r="C837" s="20"/>
    </row>
    <row r="838" spans="3:3">
      <c r="C838" s="20"/>
    </row>
    <row r="839" spans="3:3">
      <c r="C839" s="20"/>
    </row>
    <row r="840" spans="3:3">
      <c r="C840" s="20"/>
    </row>
    <row r="841" spans="3:3">
      <c r="C841" s="20"/>
    </row>
    <row r="842" spans="3:3">
      <c r="C842" s="20"/>
    </row>
    <row r="843" spans="3:3">
      <c r="C843" s="20"/>
    </row>
    <row r="844" spans="3:3">
      <c r="C844" s="20"/>
    </row>
    <row r="845" spans="3:3">
      <c r="C845" s="20"/>
    </row>
    <row r="846" spans="3:3">
      <c r="C846" s="20"/>
    </row>
    <row r="847" spans="3:3">
      <c r="C847" s="20"/>
    </row>
    <row r="848" spans="3:3">
      <c r="C848" s="20"/>
    </row>
    <row r="849" spans="3:3">
      <c r="C849" s="20"/>
    </row>
    <row r="850" spans="3:3">
      <c r="C850" s="20"/>
    </row>
    <row r="851" spans="3:3">
      <c r="C851" s="20"/>
    </row>
    <row r="852" spans="3:3">
      <c r="C852" s="20"/>
    </row>
    <row r="853" spans="3:3">
      <c r="C853" s="20"/>
    </row>
    <row r="854" spans="3:3">
      <c r="C854" s="20"/>
    </row>
    <row r="855" spans="3:3">
      <c r="C855" s="20"/>
    </row>
    <row r="856" spans="3:3">
      <c r="C856" s="20"/>
    </row>
    <row r="857" spans="3:3">
      <c r="C857" s="20"/>
    </row>
    <row r="858" spans="3:3">
      <c r="C858" s="20"/>
    </row>
    <row r="859" spans="3:3">
      <c r="C859" s="20"/>
    </row>
    <row r="860" spans="3:3">
      <c r="C860" s="20"/>
    </row>
    <row r="861" spans="3:3">
      <c r="C861" s="20"/>
    </row>
    <row r="862" spans="3:3">
      <c r="C862" s="20"/>
    </row>
    <row r="863" spans="3:3">
      <c r="C863" s="20"/>
    </row>
    <row r="864" spans="3:3">
      <c r="C864" s="20"/>
    </row>
    <row r="865" spans="3:3">
      <c r="C865" s="20"/>
    </row>
    <row r="866" spans="3:3">
      <c r="C866" s="20"/>
    </row>
    <row r="867" spans="3:3">
      <c r="C867" s="20"/>
    </row>
    <row r="868" spans="3:3">
      <c r="C868" s="20"/>
    </row>
    <row r="869" spans="3:3">
      <c r="C869" s="20"/>
    </row>
    <row r="870" spans="3:3">
      <c r="C870" s="20"/>
    </row>
    <row r="871" spans="3:3">
      <c r="C871" s="20"/>
    </row>
    <row r="872" spans="3:3">
      <c r="C872" s="20"/>
    </row>
    <row r="873" spans="3:3">
      <c r="C873" s="20"/>
    </row>
    <row r="874" spans="3:3">
      <c r="C874" s="20"/>
    </row>
    <row r="875" spans="3:3">
      <c r="C875" s="20"/>
    </row>
    <row r="876" spans="3:3">
      <c r="C876" s="20"/>
    </row>
    <row r="877" spans="3:3">
      <c r="C877" s="20"/>
    </row>
    <row r="878" spans="3:3">
      <c r="C878" s="20"/>
    </row>
    <row r="879" spans="3:3">
      <c r="C879" s="20"/>
    </row>
    <row r="880" spans="3:3">
      <c r="C880" s="20"/>
    </row>
    <row r="881" spans="3:3">
      <c r="C881" s="20"/>
    </row>
    <row r="882" spans="3:3">
      <c r="C882" s="20"/>
    </row>
    <row r="883" spans="3:3">
      <c r="C883" s="20"/>
    </row>
    <row r="884" spans="3:3">
      <c r="C884" s="20"/>
    </row>
    <row r="885" spans="3:3">
      <c r="C885" s="20"/>
    </row>
    <row r="886" spans="3:3">
      <c r="C886" s="20"/>
    </row>
    <row r="887" spans="3:3">
      <c r="C887" s="20"/>
    </row>
    <row r="888" spans="3:3">
      <c r="C888" s="20"/>
    </row>
    <row r="889" spans="3:3">
      <c r="C889" s="20"/>
    </row>
    <row r="890" spans="3:3">
      <c r="C890" s="20"/>
    </row>
    <row r="891" spans="3:3">
      <c r="C891" s="20"/>
    </row>
    <row r="892" spans="3:3">
      <c r="C892" s="20"/>
    </row>
    <row r="893" spans="3:3">
      <c r="C893" s="20"/>
    </row>
    <row r="894" spans="3:3">
      <c r="C894" s="20"/>
    </row>
    <row r="895" spans="3:3">
      <c r="C895" s="20"/>
    </row>
    <row r="896" spans="3:3">
      <c r="C896" s="20"/>
    </row>
    <row r="897" spans="3:3">
      <c r="C897" s="20"/>
    </row>
    <row r="898" spans="3:3">
      <c r="C898" s="20"/>
    </row>
    <row r="899" spans="3:3">
      <c r="C899" s="20"/>
    </row>
    <row r="900" spans="3:3">
      <c r="C900" s="20"/>
    </row>
    <row r="901" spans="3:3">
      <c r="C901" s="20"/>
    </row>
    <row r="902" spans="3:3">
      <c r="C902" s="20"/>
    </row>
    <row r="903" spans="3:3">
      <c r="C903" s="20"/>
    </row>
    <row r="904" spans="3:3">
      <c r="C904" s="20"/>
    </row>
    <row r="905" spans="3:3">
      <c r="C905" s="20"/>
    </row>
    <row r="906" spans="3:3">
      <c r="C906" s="20"/>
    </row>
    <row r="907" spans="3:3">
      <c r="C907" s="20"/>
    </row>
    <row r="908" spans="3:3">
      <c r="C908" s="20"/>
    </row>
    <row r="909" spans="3:3">
      <c r="C909" s="20"/>
    </row>
    <row r="910" spans="3:3">
      <c r="C910" s="20"/>
    </row>
    <row r="911" spans="3:3">
      <c r="C911" s="20"/>
    </row>
    <row r="912" spans="3:3">
      <c r="C912" s="20"/>
    </row>
    <row r="913" spans="3:3">
      <c r="C913" s="20"/>
    </row>
    <row r="914" spans="3:3">
      <c r="C914" s="20"/>
    </row>
    <row r="915" spans="3:3">
      <c r="C915" s="20"/>
    </row>
    <row r="916" spans="3:3">
      <c r="C916" s="20"/>
    </row>
    <row r="917" spans="3:3">
      <c r="C917" s="20"/>
    </row>
    <row r="918" spans="3:3">
      <c r="C918" s="20"/>
    </row>
    <row r="919" spans="3:3">
      <c r="C919" s="20"/>
    </row>
    <row r="920" spans="3:3">
      <c r="C920" s="20"/>
    </row>
    <row r="921" spans="3:3">
      <c r="C921" s="20"/>
    </row>
    <row r="922" spans="3:3">
      <c r="C922" s="20"/>
    </row>
    <row r="923" spans="3:3">
      <c r="C923" s="20"/>
    </row>
    <row r="924" spans="3:3">
      <c r="C924" s="20"/>
    </row>
    <row r="925" spans="3:3">
      <c r="C925" s="20"/>
    </row>
    <row r="926" spans="3:3">
      <c r="C926" s="20"/>
    </row>
    <row r="927" spans="3:3">
      <c r="C927" s="20"/>
    </row>
    <row r="928" spans="3:3">
      <c r="C928" s="20"/>
    </row>
    <row r="929" spans="3:3">
      <c r="C929" s="20"/>
    </row>
    <row r="930" spans="3:3">
      <c r="C930" s="20"/>
    </row>
    <row r="931" spans="3:3">
      <c r="C931" s="20"/>
    </row>
    <row r="932" spans="3:3">
      <c r="C932" s="20"/>
    </row>
    <row r="933" spans="3:3">
      <c r="C933" s="20"/>
    </row>
    <row r="934" spans="3:3">
      <c r="C934" s="20"/>
    </row>
    <row r="935" spans="3:3">
      <c r="C935" s="20"/>
    </row>
    <row r="936" spans="3:3">
      <c r="C936" s="20"/>
    </row>
    <row r="937" spans="3:3">
      <c r="C937" s="20"/>
    </row>
    <row r="938" spans="3:3">
      <c r="C938" s="20"/>
    </row>
    <row r="939" spans="3:3">
      <c r="C939" s="20"/>
    </row>
    <row r="940" spans="3:3">
      <c r="C940" s="20"/>
    </row>
    <row r="941" spans="3:3">
      <c r="C941" s="20"/>
    </row>
    <row r="942" spans="3:3">
      <c r="C942" s="20"/>
    </row>
    <row r="943" spans="3:3">
      <c r="C943" s="20"/>
    </row>
    <row r="944" spans="3:3">
      <c r="C944" s="20"/>
    </row>
    <row r="945" spans="3:3">
      <c r="C945" s="20"/>
    </row>
    <row r="946" spans="3:3">
      <c r="C946" s="20"/>
    </row>
    <row r="947" spans="3:3">
      <c r="C947" s="20"/>
    </row>
    <row r="948" spans="3:3">
      <c r="C948" s="20"/>
    </row>
    <row r="949" spans="3:3">
      <c r="C949" s="20"/>
    </row>
    <row r="950" spans="3:3">
      <c r="C950" s="20"/>
    </row>
    <row r="951" spans="3:3">
      <c r="C951" s="20"/>
    </row>
    <row r="952" spans="3:3">
      <c r="C952" s="20"/>
    </row>
    <row r="953" spans="3:3">
      <c r="C953" s="20"/>
    </row>
    <row r="954" spans="3:3">
      <c r="C954" s="20"/>
    </row>
    <row r="955" spans="3:3">
      <c r="C955" s="20"/>
    </row>
    <row r="956" spans="3:3">
      <c r="C956" s="20"/>
    </row>
    <row r="957" spans="3:3">
      <c r="C957" s="20"/>
    </row>
    <row r="958" spans="3:3">
      <c r="C958" s="20"/>
    </row>
    <row r="959" spans="3:3">
      <c r="C959" s="20"/>
    </row>
    <row r="960" spans="3:3">
      <c r="C960" s="20"/>
    </row>
    <row r="961" spans="3:3">
      <c r="C961" s="20"/>
    </row>
    <row r="962" spans="3:3">
      <c r="C962" s="20"/>
    </row>
    <row r="963" spans="3:3">
      <c r="C963" s="20"/>
    </row>
    <row r="964" spans="3:3">
      <c r="C964" s="20"/>
    </row>
    <row r="965" spans="3:3">
      <c r="C965" s="20"/>
    </row>
    <row r="966" spans="3:3">
      <c r="C966" s="20"/>
    </row>
    <row r="967" spans="3:3">
      <c r="C967" s="20"/>
    </row>
    <row r="968" spans="3:3">
      <c r="C968" s="20"/>
    </row>
    <row r="969" spans="3:3">
      <c r="C969" s="20"/>
    </row>
    <row r="970" spans="3:3">
      <c r="C970" s="20"/>
    </row>
    <row r="971" spans="3:3">
      <c r="C971" s="20"/>
    </row>
    <row r="972" spans="3:3">
      <c r="C972" s="20"/>
    </row>
    <row r="973" spans="3:3">
      <c r="C973" s="20"/>
    </row>
    <row r="974" spans="3:3">
      <c r="C974" s="20"/>
    </row>
    <row r="975" spans="3:3">
      <c r="C975" s="20"/>
    </row>
    <row r="976" spans="3:3">
      <c r="C976" s="20"/>
    </row>
    <row r="977" spans="3:3">
      <c r="C977" s="20"/>
    </row>
    <row r="978" spans="3:3">
      <c r="C978" s="20"/>
    </row>
    <row r="979" spans="3:3">
      <c r="C979" s="20"/>
    </row>
    <row r="980" spans="3:3">
      <c r="C980" s="20"/>
    </row>
    <row r="981" spans="3:3">
      <c r="C981" s="20"/>
    </row>
    <row r="982" spans="3:3">
      <c r="C982" s="20"/>
    </row>
    <row r="983" spans="3:3">
      <c r="C983" s="20"/>
    </row>
    <row r="984" spans="3:3">
      <c r="C984" s="20"/>
    </row>
    <row r="985" spans="3:3">
      <c r="C985" s="20"/>
    </row>
    <row r="986" spans="3:3">
      <c r="C986" s="20"/>
    </row>
    <row r="987" spans="3:3">
      <c r="C987" s="20"/>
    </row>
    <row r="988" spans="3:3">
      <c r="C988" s="20"/>
    </row>
    <row r="989" spans="3:3">
      <c r="C989" s="20"/>
    </row>
    <row r="990" spans="3:3">
      <c r="C990" s="20"/>
    </row>
    <row r="991" spans="3:3">
      <c r="C991" s="20"/>
    </row>
    <row r="992" spans="3:3">
      <c r="C992" s="20"/>
    </row>
    <row r="993" spans="3:3">
      <c r="C993" s="20"/>
    </row>
    <row r="994" spans="3:3">
      <c r="C994" s="20"/>
    </row>
    <row r="995" spans="3:3">
      <c r="C995" s="20"/>
    </row>
    <row r="996" spans="3:3">
      <c r="C996" s="20"/>
    </row>
    <row r="997" spans="3:3">
      <c r="C997" s="20"/>
    </row>
    <row r="998" spans="3:3">
      <c r="C998" s="20"/>
    </row>
    <row r="999" spans="3:3">
      <c r="C999" s="20"/>
    </row>
    <row r="1000" spans="3:3">
      <c r="C1000" s="20"/>
    </row>
    <row r="1001" spans="3:3">
      <c r="C1001" s="20"/>
    </row>
    <row r="1002" spans="3:3">
      <c r="C1002" s="20"/>
    </row>
    <row r="1003" spans="3:3">
      <c r="C1003" s="20"/>
    </row>
    <row r="1004" spans="3:3">
      <c r="C1004" s="20"/>
    </row>
    <row r="1005" spans="3:3">
      <c r="C1005" s="20"/>
    </row>
    <row r="1006" spans="3:3">
      <c r="C1006" s="20"/>
    </row>
    <row r="1007" spans="3:3">
      <c r="C1007" s="20"/>
    </row>
    <row r="1008" spans="3:3">
      <c r="C1008" s="20"/>
    </row>
    <row r="1009" spans="3:3">
      <c r="C1009" s="20"/>
    </row>
    <row r="1010" spans="3:3">
      <c r="C1010" s="20"/>
    </row>
    <row r="1011" spans="3:3">
      <c r="C1011" s="20"/>
    </row>
    <row r="1012" spans="3:3">
      <c r="C1012" s="20"/>
    </row>
    <row r="1013" spans="3:3">
      <c r="C1013" s="20"/>
    </row>
    <row r="1014" spans="3:3">
      <c r="C1014" s="20"/>
    </row>
    <row r="1015" spans="3:3">
      <c r="C1015" s="20"/>
    </row>
    <row r="1016" spans="3:3">
      <c r="C1016" s="20"/>
    </row>
    <row r="1017" spans="3:3">
      <c r="C1017" s="20"/>
    </row>
    <row r="1018" spans="3:3">
      <c r="C1018" s="20"/>
    </row>
    <row r="1019" spans="3:3">
      <c r="C1019" s="20"/>
    </row>
    <row r="1020" spans="3:3">
      <c r="C1020" s="20"/>
    </row>
    <row r="1021" spans="3:3">
      <c r="C1021" s="20"/>
    </row>
    <row r="1022" spans="3:3">
      <c r="C1022" s="20"/>
    </row>
    <row r="1023" spans="3:3">
      <c r="C1023" s="20"/>
    </row>
    <row r="1024" spans="3:3">
      <c r="C1024" s="20"/>
    </row>
    <row r="1025" spans="3:3">
      <c r="C1025" s="20"/>
    </row>
    <row r="1026" spans="3:3">
      <c r="C1026" s="20"/>
    </row>
    <row r="1027" spans="3:3">
      <c r="C1027" s="20"/>
    </row>
    <row r="1028" spans="3:3">
      <c r="C1028" s="20"/>
    </row>
    <row r="1029" spans="3:3">
      <c r="C1029" s="20"/>
    </row>
    <row r="1030" spans="3:3">
      <c r="C1030" s="20"/>
    </row>
    <row r="1031" spans="3:3">
      <c r="C1031" s="20"/>
    </row>
    <row r="1032" spans="3:3">
      <c r="C1032" s="20"/>
    </row>
    <row r="1033" spans="3:3">
      <c r="C1033" s="20"/>
    </row>
    <row r="1034" spans="3:3">
      <c r="C1034" s="20"/>
    </row>
    <row r="1035" spans="3:3">
      <c r="C1035" s="20"/>
    </row>
    <row r="1036" spans="3:3">
      <c r="C1036" s="20"/>
    </row>
    <row r="1037" spans="3:3">
      <c r="C1037" s="20"/>
    </row>
    <row r="1038" spans="3:3">
      <c r="C1038" s="20"/>
    </row>
    <row r="1039" spans="3:3">
      <c r="C1039" s="20"/>
    </row>
    <row r="1040" spans="3:3">
      <c r="C1040" s="20"/>
    </row>
    <row r="1041" spans="3:3">
      <c r="C1041" s="20"/>
    </row>
    <row r="1042" spans="3:3">
      <c r="C1042" s="20"/>
    </row>
    <row r="1043" spans="3:3">
      <c r="C1043" s="20"/>
    </row>
    <row r="1044" spans="3:3">
      <c r="C1044" s="20"/>
    </row>
    <row r="1045" spans="3:3">
      <c r="C1045" s="20"/>
    </row>
    <row r="1046" spans="3:3">
      <c r="C1046" s="20"/>
    </row>
    <row r="1047" spans="3:3">
      <c r="C1047" s="20"/>
    </row>
    <row r="1048" spans="3:3">
      <c r="C1048" s="20"/>
    </row>
    <row r="1049" spans="3:3">
      <c r="C1049" s="20"/>
    </row>
    <row r="1050" spans="3:3">
      <c r="C1050" s="20"/>
    </row>
    <row r="1051" spans="3:3">
      <c r="C1051" s="20"/>
    </row>
    <row r="1052" spans="3:3">
      <c r="C1052" s="20"/>
    </row>
    <row r="1053" spans="3:3">
      <c r="C1053" s="20"/>
    </row>
    <row r="1054" spans="3:3">
      <c r="C1054" s="20"/>
    </row>
    <row r="1055" spans="3:3">
      <c r="C1055" s="20"/>
    </row>
    <row r="1056" spans="3:3">
      <c r="C1056" s="20"/>
    </row>
    <row r="1057" spans="3:3">
      <c r="C1057" s="20"/>
    </row>
    <row r="1058" spans="3:3">
      <c r="C1058" s="20"/>
    </row>
    <row r="1059" spans="3:3">
      <c r="C1059" s="20"/>
    </row>
    <row r="1060" spans="3:3">
      <c r="C1060" s="20"/>
    </row>
    <row r="1061" spans="3:3">
      <c r="C1061" s="20"/>
    </row>
    <row r="1062" spans="3:3">
      <c r="C1062" s="20"/>
    </row>
    <row r="1063" spans="3:3">
      <c r="C1063" s="20"/>
    </row>
    <row r="1064" spans="3:3">
      <c r="C1064" s="20"/>
    </row>
    <row r="1065" spans="3:3">
      <c r="C1065" s="20"/>
    </row>
    <row r="1066" spans="3:3">
      <c r="C1066" s="20"/>
    </row>
    <row r="1067" spans="3:3">
      <c r="C1067" s="20"/>
    </row>
    <row r="1068" spans="3:3">
      <c r="C1068" s="20"/>
    </row>
    <row r="1069" spans="3:3">
      <c r="C1069" s="20"/>
    </row>
    <row r="1070" spans="3:3">
      <c r="C1070" s="20"/>
    </row>
    <row r="1071" spans="3:3">
      <c r="C1071" s="20"/>
    </row>
    <row r="1072" spans="3:3">
      <c r="C1072" s="20"/>
    </row>
    <row r="1073" spans="3:3">
      <c r="C1073" s="20"/>
    </row>
    <row r="1074" spans="3:3">
      <c r="C1074" s="20"/>
    </row>
    <row r="1075" spans="3:3">
      <c r="C1075" s="20"/>
    </row>
    <row r="1076" spans="3:3">
      <c r="C1076" s="20"/>
    </row>
    <row r="1077" spans="3:3">
      <c r="C1077" s="20"/>
    </row>
    <row r="1078" spans="3:3">
      <c r="C1078" s="20"/>
    </row>
    <row r="1079" spans="3:3">
      <c r="C1079" s="20"/>
    </row>
    <row r="1080" spans="3:3">
      <c r="C1080" s="20"/>
    </row>
    <row r="1081" spans="3:3">
      <c r="C1081" s="20"/>
    </row>
    <row r="1082" spans="3:3">
      <c r="C1082" s="20"/>
    </row>
    <row r="1083" spans="3:3">
      <c r="C1083" s="20"/>
    </row>
    <row r="1084" spans="3:3">
      <c r="C1084" s="20"/>
    </row>
    <row r="1085" spans="3:3">
      <c r="C1085" s="20"/>
    </row>
    <row r="1086" spans="3:3">
      <c r="C1086" s="20"/>
    </row>
    <row r="1087" spans="3:3">
      <c r="C1087" s="20"/>
    </row>
    <row r="1088" spans="3:3">
      <c r="C1088" s="20"/>
    </row>
    <row r="1089" spans="3:3">
      <c r="C1089" s="20"/>
    </row>
    <row r="1090" spans="3:3">
      <c r="C1090" s="20"/>
    </row>
    <row r="1091" spans="3:3">
      <c r="C1091" s="20"/>
    </row>
    <row r="1092" spans="3:3">
      <c r="C1092" s="20"/>
    </row>
    <row r="1093" spans="3:3">
      <c r="C1093" s="20"/>
    </row>
    <row r="1094" spans="3:3">
      <c r="C1094" s="20"/>
    </row>
    <row r="1095" spans="3:3">
      <c r="C1095" s="20"/>
    </row>
    <row r="1096" spans="3:3">
      <c r="C1096" s="20"/>
    </row>
    <row r="1097" spans="3:3">
      <c r="C1097" s="20"/>
    </row>
    <row r="1098" spans="3:3">
      <c r="C1098" s="20"/>
    </row>
    <row r="1099" spans="3:3">
      <c r="C1099" s="20"/>
    </row>
    <row r="1100" spans="3:3">
      <c r="C1100" s="20"/>
    </row>
    <row r="1101" spans="3:3">
      <c r="C1101" s="20"/>
    </row>
    <row r="1102" spans="3:3">
      <c r="C1102" s="20"/>
    </row>
    <row r="1103" spans="3:3">
      <c r="C1103" s="20"/>
    </row>
    <row r="1104" spans="3:3">
      <c r="C1104" s="20"/>
    </row>
    <row r="1105" spans="3:3">
      <c r="C1105" s="20"/>
    </row>
    <row r="1106" spans="3:3">
      <c r="C1106" s="20"/>
    </row>
    <row r="1107" spans="3:3">
      <c r="C1107" s="20"/>
    </row>
    <row r="1108" spans="3:3">
      <c r="C1108" s="20"/>
    </row>
    <row r="1109" spans="3:3">
      <c r="C1109" s="20"/>
    </row>
    <row r="1110" spans="3:3">
      <c r="C1110" s="20"/>
    </row>
    <row r="1111" spans="3:3">
      <c r="C1111" s="20"/>
    </row>
    <row r="1112" spans="3:3">
      <c r="C1112" s="20"/>
    </row>
    <row r="1113" spans="3:3">
      <c r="C1113" s="20"/>
    </row>
    <row r="1114" spans="3:3">
      <c r="C1114" s="20"/>
    </row>
    <row r="1115" spans="3:3">
      <c r="C1115" s="20"/>
    </row>
    <row r="1116" spans="3:3">
      <c r="C1116" s="20"/>
    </row>
    <row r="1117" spans="3:3">
      <c r="C1117" s="20"/>
    </row>
    <row r="1118" spans="3:3">
      <c r="C1118" s="20"/>
    </row>
    <row r="1119" spans="3:3">
      <c r="C1119" s="20"/>
    </row>
    <row r="1120" spans="3:3">
      <c r="C1120" s="20"/>
    </row>
    <row r="1121" spans="3:3">
      <c r="C1121" s="20"/>
    </row>
    <row r="1122" spans="3:3">
      <c r="C1122" s="20"/>
    </row>
    <row r="1123" spans="3:3">
      <c r="C1123" s="20"/>
    </row>
    <row r="1124" spans="3:3">
      <c r="C1124" s="20"/>
    </row>
    <row r="1125" spans="3:3">
      <c r="C1125" s="20"/>
    </row>
    <row r="1126" spans="3:3">
      <c r="C1126" s="20"/>
    </row>
    <row r="1127" spans="3:3">
      <c r="C1127" s="20"/>
    </row>
    <row r="1128" spans="3:3">
      <c r="C1128" s="20"/>
    </row>
    <row r="1129" spans="3:3">
      <c r="C1129" s="20"/>
    </row>
    <row r="1130" spans="3:3">
      <c r="C1130" s="20"/>
    </row>
    <row r="1131" spans="3:3">
      <c r="C1131" s="20"/>
    </row>
    <row r="1132" spans="3:3">
      <c r="C1132" s="20"/>
    </row>
    <row r="1133" spans="3:3">
      <c r="C1133" s="20"/>
    </row>
    <row r="1134" spans="3:3">
      <c r="C1134" s="20"/>
    </row>
    <row r="1135" spans="3:3">
      <c r="C1135" s="20"/>
    </row>
    <row r="1136" spans="3:3">
      <c r="C1136" s="20"/>
    </row>
    <row r="1137" spans="3:3">
      <c r="C1137" s="20"/>
    </row>
    <row r="1138" spans="3:3">
      <c r="C1138" s="20"/>
    </row>
    <row r="1139" spans="3:3">
      <c r="C1139" s="20"/>
    </row>
    <row r="1140" spans="3:3">
      <c r="C1140" s="20"/>
    </row>
    <row r="1141" spans="3:3">
      <c r="C1141" s="20"/>
    </row>
    <row r="1142" spans="3:3">
      <c r="C1142" s="20"/>
    </row>
    <row r="1143" spans="3:3">
      <c r="C1143" s="20"/>
    </row>
    <row r="1144" spans="3:3">
      <c r="C1144" s="20"/>
    </row>
    <row r="1145" spans="3:3">
      <c r="C1145" s="20"/>
    </row>
    <row r="1146" spans="3:3">
      <c r="C1146" s="20"/>
    </row>
    <row r="1147" spans="3:3">
      <c r="C1147" s="20"/>
    </row>
    <row r="1148" spans="3:3">
      <c r="C1148" s="20"/>
    </row>
    <row r="1149" spans="3:3">
      <c r="C1149" s="20"/>
    </row>
    <row r="1150" spans="3:3">
      <c r="C1150" s="20"/>
    </row>
    <row r="1151" spans="3:3">
      <c r="C1151" s="20"/>
    </row>
    <row r="1152" spans="3:3">
      <c r="C1152" s="20"/>
    </row>
    <row r="1153" spans="3:3">
      <c r="C1153" s="20"/>
    </row>
    <row r="1154" spans="3:3">
      <c r="C1154" s="20"/>
    </row>
    <row r="1155" spans="3:3">
      <c r="C1155" s="20"/>
    </row>
    <row r="1156" spans="3:3">
      <c r="C1156" s="20"/>
    </row>
    <row r="1157" spans="3:3">
      <c r="C1157" s="20"/>
    </row>
    <row r="1158" spans="3:3">
      <c r="C1158" s="20"/>
    </row>
    <row r="1159" spans="3:3">
      <c r="C1159" s="20"/>
    </row>
    <row r="1160" spans="3:3">
      <c r="C1160" s="20"/>
    </row>
    <row r="1161" spans="3:3">
      <c r="C1161" s="20"/>
    </row>
    <row r="1162" spans="3:3">
      <c r="C1162" s="20"/>
    </row>
    <row r="1163" spans="3:3">
      <c r="C1163" s="20"/>
    </row>
    <row r="1164" spans="3:3">
      <c r="C1164" s="20"/>
    </row>
    <row r="1165" spans="3:3">
      <c r="C1165" s="20"/>
    </row>
    <row r="1166" spans="3:3">
      <c r="C1166" s="20"/>
    </row>
    <row r="1167" spans="3:3">
      <c r="C1167" s="20"/>
    </row>
    <row r="1168" spans="3:3">
      <c r="C1168" s="20"/>
    </row>
    <row r="1169" spans="3:3">
      <c r="C1169" s="20"/>
    </row>
    <row r="1170" spans="3:3">
      <c r="C1170" s="20"/>
    </row>
    <row r="2151" spans="5:5">
      <c r="E2151" s="83"/>
    </row>
  </sheetData>
  <mergeCells count="208">
    <mergeCell ref="A1:B3"/>
    <mergeCell ref="C2:C3"/>
    <mergeCell ref="Y74:AB74"/>
    <mergeCell ref="AC74:AF74"/>
    <mergeCell ref="AG74:AJ74"/>
    <mergeCell ref="AK74:AN74"/>
    <mergeCell ref="AO74:AR74"/>
    <mergeCell ref="AS74:AV74"/>
    <mergeCell ref="Q74:T74"/>
    <mergeCell ref="U74:X74"/>
    <mergeCell ref="D2:D3"/>
    <mergeCell ref="E2:E3"/>
    <mergeCell ref="F2:F3"/>
    <mergeCell ref="G2:G3"/>
    <mergeCell ref="N2:N3"/>
    <mergeCell ref="H2:H3"/>
    <mergeCell ref="I2:I3"/>
    <mergeCell ref="J2:J3"/>
    <mergeCell ref="K2:K3"/>
    <mergeCell ref="L2:L3"/>
    <mergeCell ref="M2:M3"/>
    <mergeCell ref="BU74:BX74"/>
    <mergeCell ref="BY74:CB74"/>
    <mergeCell ref="CC74:CF74"/>
    <mergeCell ref="CG74:CJ74"/>
    <mergeCell ref="CK74:CN74"/>
    <mergeCell ref="CO74:CR74"/>
    <mergeCell ref="AW74:AZ74"/>
    <mergeCell ref="BA74:BD74"/>
    <mergeCell ref="BE74:BH74"/>
    <mergeCell ref="BI74:BL74"/>
    <mergeCell ref="BM74:BP74"/>
    <mergeCell ref="BQ74:BT74"/>
    <mergeCell ref="DQ74:DT74"/>
    <mergeCell ref="DU74:DX74"/>
    <mergeCell ref="DY74:EB74"/>
    <mergeCell ref="EC74:EF74"/>
    <mergeCell ref="EG74:EJ74"/>
    <mergeCell ref="EK74:EN74"/>
    <mergeCell ref="CS74:CV74"/>
    <mergeCell ref="CW74:CZ74"/>
    <mergeCell ref="DA74:DD74"/>
    <mergeCell ref="DE74:DH74"/>
    <mergeCell ref="DI74:DL74"/>
    <mergeCell ref="DM74:DP74"/>
    <mergeCell ref="FU74:FX74"/>
    <mergeCell ref="FY74:GB74"/>
    <mergeCell ref="GC74:GF74"/>
    <mergeCell ref="GG74:GJ74"/>
    <mergeCell ref="EO74:ER74"/>
    <mergeCell ref="ES74:EV74"/>
    <mergeCell ref="EW74:EZ74"/>
    <mergeCell ref="FA74:FD74"/>
    <mergeCell ref="FE74:FH74"/>
    <mergeCell ref="FI74:FL74"/>
    <mergeCell ref="IG74:IJ74"/>
    <mergeCell ref="IK74:IN74"/>
    <mergeCell ref="IO74:IR74"/>
    <mergeCell ref="IS74:IV74"/>
    <mergeCell ref="Q76:T76"/>
    <mergeCell ref="U76:X76"/>
    <mergeCell ref="Y76:AB76"/>
    <mergeCell ref="AC76:AF76"/>
    <mergeCell ref="HI74:HL74"/>
    <mergeCell ref="HM74:HP74"/>
    <mergeCell ref="HQ74:HT74"/>
    <mergeCell ref="HU74:HX74"/>
    <mergeCell ref="HY74:IB74"/>
    <mergeCell ref="IC74:IF74"/>
    <mergeCell ref="GK74:GN74"/>
    <mergeCell ref="GO74:GR74"/>
    <mergeCell ref="GS74:GV74"/>
    <mergeCell ref="GW74:GZ74"/>
    <mergeCell ref="HA74:HD74"/>
    <mergeCell ref="HE74:HH74"/>
    <mergeCell ref="FM74:FP74"/>
    <mergeCell ref="FQ74:FT74"/>
    <mergeCell ref="BE76:BH76"/>
    <mergeCell ref="BI76:BL76"/>
    <mergeCell ref="BM76:BP76"/>
    <mergeCell ref="BQ76:BT76"/>
    <mergeCell ref="BU76:BX76"/>
    <mergeCell ref="BY76:CB76"/>
    <mergeCell ref="AG76:AJ76"/>
    <mergeCell ref="AK76:AN76"/>
    <mergeCell ref="AO76:AR76"/>
    <mergeCell ref="AS76:AV76"/>
    <mergeCell ref="AW76:AZ76"/>
    <mergeCell ref="BA76:BD76"/>
    <mergeCell ref="DA76:DD76"/>
    <mergeCell ref="DE76:DH76"/>
    <mergeCell ref="DI76:DL76"/>
    <mergeCell ref="DM76:DP76"/>
    <mergeCell ref="DQ76:DT76"/>
    <mergeCell ref="DU76:DX76"/>
    <mergeCell ref="CC76:CF76"/>
    <mergeCell ref="CG76:CJ76"/>
    <mergeCell ref="CK76:CN76"/>
    <mergeCell ref="CO76:CR76"/>
    <mergeCell ref="CS76:CV76"/>
    <mergeCell ref="CW76:CZ76"/>
    <mergeCell ref="FA76:FD76"/>
    <mergeCell ref="FE76:FH76"/>
    <mergeCell ref="FI76:FL76"/>
    <mergeCell ref="FM76:FP76"/>
    <mergeCell ref="FQ76:FT76"/>
    <mergeCell ref="DY76:EB76"/>
    <mergeCell ref="EC76:EF76"/>
    <mergeCell ref="EG76:EJ76"/>
    <mergeCell ref="EK76:EN76"/>
    <mergeCell ref="EO76:ER76"/>
    <mergeCell ref="ES76:EV76"/>
    <mergeCell ref="IO76:IR76"/>
    <mergeCell ref="IS76:IV76"/>
    <mergeCell ref="A77:B78"/>
    <mergeCell ref="A122:B122"/>
    <mergeCell ref="A133:B133"/>
    <mergeCell ref="HQ76:HT76"/>
    <mergeCell ref="HU76:HX76"/>
    <mergeCell ref="HY76:IB76"/>
    <mergeCell ref="IC76:IF76"/>
    <mergeCell ref="IG76:IJ76"/>
    <mergeCell ref="IK76:IN76"/>
    <mergeCell ref="GS76:GV76"/>
    <mergeCell ref="GW76:GZ76"/>
    <mergeCell ref="HA76:HD76"/>
    <mergeCell ref="HE76:HH76"/>
    <mergeCell ref="HI76:HL76"/>
    <mergeCell ref="HM76:HP76"/>
    <mergeCell ref="FU76:FX76"/>
    <mergeCell ref="FY76:GB76"/>
    <mergeCell ref="GC76:GF76"/>
    <mergeCell ref="GG76:GJ76"/>
    <mergeCell ref="GK76:GN76"/>
    <mergeCell ref="GO76:GR76"/>
    <mergeCell ref="EW76:EZ76"/>
    <mergeCell ref="L129:L130"/>
    <mergeCell ref="M129:M130"/>
    <mergeCell ref="N129:N130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L131:L132"/>
    <mergeCell ref="M131:M132"/>
    <mergeCell ref="N131:N132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C133:C134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C122:C123"/>
    <mergeCell ref="D122:D123"/>
    <mergeCell ref="E122:E123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N124:N125"/>
    <mergeCell ref="M124:M125"/>
    <mergeCell ref="L124:L125"/>
    <mergeCell ref="K124:K125"/>
    <mergeCell ref="J124:J125"/>
    <mergeCell ref="I124:I125"/>
    <mergeCell ref="H124:H125"/>
    <mergeCell ref="G124:G125"/>
    <mergeCell ref="F124:F125"/>
    <mergeCell ref="I126:I127"/>
    <mergeCell ref="J126:J127"/>
    <mergeCell ref="K126:K127"/>
    <mergeCell ref="L126:L127"/>
    <mergeCell ref="M126:M127"/>
    <mergeCell ref="N126:N127"/>
    <mergeCell ref="E124:E125"/>
    <mergeCell ref="D124:D125"/>
    <mergeCell ref="C124:C125"/>
    <mergeCell ref="C126:C127"/>
    <mergeCell ref="D126:D127"/>
    <mergeCell ref="E126:E127"/>
    <mergeCell ref="F126:F127"/>
    <mergeCell ref="G126:G127"/>
    <mergeCell ref="H126:H127"/>
  </mergeCells>
  <conditionalFormatting sqref="C122:I123 L122:N123">
    <cfRule type="cellIs" dxfId="43" priority="6" operator="lessThan">
      <formula>0</formula>
    </cfRule>
  </conditionalFormatting>
  <conditionalFormatting sqref="J122:J123">
    <cfRule type="cellIs" dxfId="42" priority="5" operator="lessThan">
      <formula>0</formula>
    </cfRule>
  </conditionalFormatting>
  <conditionalFormatting sqref="K122:K123">
    <cfRule type="cellIs" dxfId="41" priority="2" operator="lessThan">
      <formula>0</formula>
    </cfRule>
  </conditionalFormatting>
  <printOptions horizontalCentered="1"/>
  <pageMargins left="0.5" right="0.5" top="0.75" bottom="0.35" header="0.5" footer="0.15"/>
  <pageSetup scale="66" fitToWidth="2" fitToHeight="2" orientation="portrait" r:id="rId1"/>
  <headerFooter alignWithMargins="0">
    <oddHeader>&amp;C&amp;"Arial,Bold"&amp;14CLASS I FAIRS</oddHeader>
    <oddFooter xml:space="preserve">&amp;CFairs and Expositions&amp;R
</oddFooter>
  </headerFooter>
  <rowBreaks count="1" manualBreakCount="1">
    <brk id="76" max="1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4"/>
  <sheetViews>
    <sheetView view="pageBreakPreview" zoomScale="85" zoomScaleNormal="100" zoomScaleSheetLayoutView="85" workbookViewId="0">
      <selection activeCell="J4" sqref="J4"/>
    </sheetView>
  </sheetViews>
  <sheetFormatPr defaultRowHeight="12.75"/>
  <cols>
    <col min="1" max="1" width="4.7109375" style="20" customWidth="1"/>
    <col min="2" max="2" width="56.42578125" style="20" customWidth="1"/>
    <col min="3" max="10" width="12.7109375" style="20" customWidth="1"/>
    <col min="11" max="11" width="12.7109375" style="60" customWidth="1"/>
    <col min="12" max="12" width="13.7109375" style="20" customWidth="1"/>
    <col min="13" max="13" width="13.85546875" style="20" customWidth="1"/>
    <col min="14" max="16384" width="9.140625" style="20"/>
  </cols>
  <sheetData>
    <row r="1" spans="1:14" ht="12" customHeight="1">
      <c r="A1" s="356"/>
      <c r="B1" s="357"/>
      <c r="C1" s="252"/>
      <c r="D1" s="252"/>
      <c r="E1" s="252"/>
      <c r="F1" s="252"/>
      <c r="G1" s="252"/>
      <c r="H1" s="252"/>
      <c r="I1" s="252"/>
      <c r="J1" s="252"/>
      <c r="K1" s="252"/>
    </row>
    <row r="2" spans="1:14" ht="12" customHeight="1">
      <c r="A2" s="374"/>
      <c r="B2" s="375"/>
      <c r="C2" s="367" t="s">
        <v>131</v>
      </c>
      <c r="D2" s="367" t="s">
        <v>132</v>
      </c>
      <c r="E2" s="367" t="s">
        <v>133</v>
      </c>
      <c r="F2" s="367" t="s">
        <v>134</v>
      </c>
      <c r="G2" s="367" t="s">
        <v>135</v>
      </c>
      <c r="H2" s="367" t="s">
        <v>136</v>
      </c>
      <c r="I2" s="367" t="s">
        <v>137</v>
      </c>
      <c r="J2" s="367" t="s">
        <v>240</v>
      </c>
      <c r="K2" s="367" t="s">
        <v>225</v>
      </c>
    </row>
    <row r="3" spans="1:14" ht="69" customHeight="1">
      <c r="A3" s="374"/>
      <c r="B3" s="375"/>
      <c r="C3" s="367"/>
      <c r="D3" s="367"/>
      <c r="E3" s="367"/>
      <c r="F3" s="367"/>
      <c r="G3" s="367"/>
      <c r="H3" s="367"/>
      <c r="I3" s="367"/>
      <c r="J3" s="367"/>
      <c r="K3" s="367"/>
      <c r="L3" s="20" t="s">
        <v>138</v>
      </c>
      <c r="M3" s="20" t="s">
        <v>41</v>
      </c>
    </row>
    <row r="4" spans="1:14">
      <c r="A4" s="312" t="s">
        <v>205</v>
      </c>
      <c r="B4" s="312"/>
      <c r="C4" s="49"/>
      <c r="D4" s="49"/>
      <c r="E4" s="49"/>
      <c r="F4" s="49"/>
      <c r="G4" s="49"/>
      <c r="H4" s="49"/>
      <c r="I4" s="48"/>
      <c r="J4" s="48"/>
      <c r="K4" s="50"/>
      <c r="L4" s="65"/>
      <c r="M4" s="65"/>
      <c r="N4" s="65"/>
    </row>
    <row r="5" spans="1:14">
      <c r="A5" s="255"/>
      <c r="B5" s="36" t="s">
        <v>42</v>
      </c>
      <c r="C5" s="249">
        <v>111985</v>
      </c>
      <c r="D5" s="249">
        <v>258522</v>
      </c>
      <c r="E5" s="249">
        <v>37698</v>
      </c>
      <c r="F5" s="249">
        <v>106258</v>
      </c>
      <c r="G5" s="249">
        <v>262497</v>
      </c>
      <c r="H5" s="249">
        <v>425969</v>
      </c>
      <c r="I5" s="249">
        <v>124605</v>
      </c>
      <c r="J5" s="249">
        <v>177935</v>
      </c>
      <c r="K5" s="249">
        <v>-111076</v>
      </c>
    </row>
    <row r="6" spans="1:14">
      <c r="A6" s="255"/>
      <c r="B6" s="28" t="s">
        <v>43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</row>
    <row r="7" spans="1:14">
      <c r="A7" s="255"/>
      <c r="B7" s="22" t="s">
        <v>44</v>
      </c>
      <c r="C7" s="27">
        <v>1062964</v>
      </c>
      <c r="D7" s="27">
        <v>1070335</v>
      </c>
      <c r="E7" s="27">
        <v>900221</v>
      </c>
      <c r="F7" s="27">
        <v>675888</v>
      </c>
      <c r="G7" s="27">
        <v>1309445</v>
      </c>
      <c r="H7" s="27">
        <v>1659011</v>
      </c>
      <c r="I7" s="27">
        <v>856401</v>
      </c>
      <c r="J7" s="27">
        <v>1099258</v>
      </c>
      <c r="K7" s="27">
        <v>345755</v>
      </c>
    </row>
    <row r="8" spans="1:14">
      <c r="A8" s="255"/>
      <c r="B8" s="22" t="s">
        <v>45</v>
      </c>
      <c r="C8" s="85">
        <v>0</v>
      </c>
      <c r="D8" s="85">
        <v>0</v>
      </c>
      <c r="E8" s="85">
        <v>0</v>
      </c>
      <c r="F8" s="85">
        <v>0</v>
      </c>
      <c r="G8" s="86">
        <v>0</v>
      </c>
      <c r="H8" s="85">
        <v>-18567</v>
      </c>
      <c r="I8" s="85">
        <v>0</v>
      </c>
      <c r="J8" s="85">
        <v>0</v>
      </c>
      <c r="K8" s="85">
        <v>53987</v>
      </c>
      <c r="M8" s="31">
        <f>SUM(C8:I8)</f>
        <v>-18567</v>
      </c>
    </row>
    <row r="9" spans="1:14" s="33" customFormat="1" ht="12.75" customHeight="1" thickBot="1">
      <c r="A9" s="256"/>
      <c r="B9" s="115" t="s">
        <v>46</v>
      </c>
      <c r="C9" s="78">
        <f>SUM(C5:C8)</f>
        <v>1174949</v>
      </c>
      <c r="D9" s="78">
        <f t="shared" ref="D9:K9" si="0">SUM(D5:D8)</f>
        <v>1328857</v>
      </c>
      <c r="E9" s="78">
        <f t="shared" si="0"/>
        <v>937919</v>
      </c>
      <c r="F9" s="78">
        <f t="shared" si="0"/>
        <v>782146</v>
      </c>
      <c r="G9" s="78">
        <f t="shared" si="0"/>
        <v>1571942</v>
      </c>
      <c r="H9" s="78">
        <f t="shared" si="0"/>
        <v>2066413</v>
      </c>
      <c r="I9" s="78">
        <f t="shared" si="0"/>
        <v>981006</v>
      </c>
      <c r="J9" s="78">
        <f t="shared" si="0"/>
        <v>1277193</v>
      </c>
      <c r="K9" s="78">
        <f t="shared" si="0"/>
        <v>288666</v>
      </c>
      <c r="M9" s="31">
        <f>SUM(C9:H9)</f>
        <v>7862226</v>
      </c>
    </row>
    <row r="10" spans="1:14" s="33" customFormat="1">
      <c r="A10" s="257" t="s">
        <v>47</v>
      </c>
      <c r="B10" s="47"/>
      <c r="C10" s="53"/>
      <c r="D10" s="53"/>
      <c r="E10" s="53"/>
      <c r="F10" s="53"/>
      <c r="G10" s="53"/>
      <c r="H10" s="53"/>
      <c r="I10" s="53"/>
      <c r="J10" s="53"/>
      <c r="K10" s="53"/>
    </row>
    <row r="11" spans="1:14" s="33" customFormat="1">
      <c r="A11" s="258"/>
      <c r="B11" s="34" t="s">
        <v>48</v>
      </c>
      <c r="C11" s="35">
        <v>45828</v>
      </c>
      <c r="D11" s="35">
        <v>45828</v>
      </c>
      <c r="E11" s="35">
        <v>45828</v>
      </c>
      <c r="F11" s="35">
        <v>47378</v>
      </c>
      <c r="G11" s="35">
        <v>48440</v>
      </c>
      <c r="H11" s="35">
        <v>45828</v>
      </c>
      <c r="I11" s="35">
        <v>48731</v>
      </c>
      <c r="J11" s="35">
        <v>45828</v>
      </c>
      <c r="K11" s="35">
        <v>45828</v>
      </c>
      <c r="M11" s="31">
        <f>SUM(C11:I11)</f>
        <v>327861</v>
      </c>
    </row>
    <row r="12" spans="1:14" s="33" customFormat="1">
      <c r="A12" s="258"/>
      <c r="B12" s="34" t="s">
        <v>49</v>
      </c>
      <c r="C12" s="35">
        <v>0</v>
      </c>
      <c r="D12" s="35">
        <v>0</v>
      </c>
      <c r="E12" s="35">
        <v>0</v>
      </c>
      <c r="F12" s="35">
        <v>0</v>
      </c>
      <c r="G12" s="35">
        <v>64370</v>
      </c>
      <c r="H12" s="35">
        <v>0</v>
      </c>
      <c r="I12" s="35">
        <v>0</v>
      </c>
      <c r="J12" s="35">
        <v>0</v>
      </c>
      <c r="K12" s="35">
        <v>0</v>
      </c>
      <c r="M12" s="31">
        <f>SUM(C12:I12)</f>
        <v>64370</v>
      </c>
    </row>
    <row r="13" spans="1:14" s="33" customFormat="1" ht="13.5" thickBot="1">
      <c r="A13" s="259"/>
      <c r="B13" s="43" t="s">
        <v>50</v>
      </c>
      <c r="C13" s="44">
        <f>3097+1498</f>
        <v>4595</v>
      </c>
      <c r="D13" s="44">
        <f>1115+37500</f>
        <v>38615</v>
      </c>
      <c r="E13" s="44">
        <f>2903+209000</f>
        <v>211903</v>
      </c>
      <c r="F13" s="44">
        <v>0</v>
      </c>
      <c r="G13" s="44">
        <v>0</v>
      </c>
      <c r="H13" s="44">
        <f>2190+61500</f>
        <v>63690</v>
      </c>
      <c r="I13" s="44">
        <v>0</v>
      </c>
      <c r="J13" s="44">
        <v>114935</v>
      </c>
      <c r="K13" s="44">
        <v>115499</v>
      </c>
      <c r="M13" s="31">
        <f>SUM(C13:H13)</f>
        <v>318803</v>
      </c>
    </row>
    <row r="14" spans="1:14" ht="13.5" customHeight="1">
      <c r="A14" s="254" t="s">
        <v>51</v>
      </c>
      <c r="B14" s="36"/>
      <c r="C14" s="38"/>
      <c r="D14" s="38"/>
      <c r="E14" s="38"/>
      <c r="F14" s="38"/>
      <c r="G14" s="38"/>
      <c r="H14" s="38"/>
      <c r="I14" s="38"/>
      <c r="J14" s="38"/>
      <c r="K14" s="39"/>
    </row>
    <row r="15" spans="1:14" ht="13.5" customHeight="1">
      <c r="A15" s="260"/>
      <c r="B15" s="40" t="s">
        <v>52</v>
      </c>
      <c r="C15" s="41">
        <v>74675</v>
      </c>
      <c r="D15" s="41">
        <v>134022</v>
      </c>
      <c r="E15" s="41">
        <v>109448</v>
      </c>
      <c r="F15" s="41">
        <v>109141</v>
      </c>
      <c r="G15" s="41">
        <v>76805</v>
      </c>
      <c r="H15" s="41">
        <v>199790</v>
      </c>
      <c r="I15" s="41">
        <v>125005</v>
      </c>
      <c r="J15" s="41">
        <v>69324</v>
      </c>
      <c r="K15" s="30">
        <v>27521</v>
      </c>
    </row>
    <row r="16" spans="1:14" ht="13.5" customHeight="1">
      <c r="A16" s="260"/>
      <c r="B16" s="40" t="s">
        <v>53</v>
      </c>
      <c r="C16" s="41">
        <v>17000</v>
      </c>
      <c r="D16" s="41">
        <v>9160</v>
      </c>
      <c r="E16" s="41">
        <v>18791</v>
      </c>
      <c r="F16" s="41">
        <v>16617</v>
      </c>
      <c r="G16" s="41">
        <v>17780</v>
      </c>
      <c r="H16" s="41">
        <v>31615</v>
      </c>
      <c r="I16" s="41">
        <v>24241</v>
      </c>
      <c r="J16" s="41">
        <v>7612</v>
      </c>
      <c r="K16" s="30">
        <v>0</v>
      </c>
    </row>
    <row r="17" spans="1:15" ht="13.5" customHeight="1">
      <c r="A17" s="260"/>
      <c r="B17" s="40" t="s">
        <v>54</v>
      </c>
      <c r="C17" s="41">
        <v>25864</v>
      </c>
      <c r="D17" s="41">
        <v>0</v>
      </c>
      <c r="E17" s="41">
        <v>0</v>
      </c>
      <c r="F17" s="41">
        <v>47472</v>
      </c>
      <c r="G17" s="41">
        <v>62611</v>
      </c>
      <c r="H17" s="41">
        <v>91357</v>
      </c>
      <c r="I17" s="41">
        <v>69123</v>
      </c>
      <c r="J17" s="41">
        <v>0</v>
      </c>
      <c r="K17" s="30">
        <v>31915</v>
      </c>
    </row>
    <row r="18" spans="1:15" ht="13.5" customHeight="1">
      <c r="A18" s="260"/>
      <c r="B18" s="40" t="s">
        <v>55</v>
      </c>
      <c r="C18" s="41">
        <v>30540</v>
      </c>
      <c r="D18" s="41">
        <v>100873</v>
      </c>
      <c r="E18" s="41">
        <v>106082.98</v>
      </c>
      <c r="F18" s="41">
        <v>54676</v>
      </c>
      <c r="G18" s="41">
        <v>29713</v>
      </c>
      <c r="H18" s="41">
        <v>80953</v>
      </c>
      <c r="I18" s="41">
        <v>49984</v>
      </c>
      <c r="J18" s="41">
        <v>92982</v>
      </c>
      <c r="K18" s="30">
        <v>38977</v>
      </c>
    </row>
    <row r="19" spans="1:15" ht="13.5" customHeight="1">
      <c r="A19" s="260"/>
      <c r="B19" s="40" t="s">
        <v>56</v>
      </c>
      <c r="C19" s="41">
        <v>2110</v>
      </c>
      <c r="D19" s="41">
        <v>5913</v>
      </c>
      <c r="E19" s="41">
        <v>4080.5</v>
      </c>
      <c r="F19" s="41">
        <v>15567</v>
      </c>
      <c r="G19" s="41">
        <v>22700</v>
      </c>
      <c r="H19" s="41">
        <v>8739</v>
      </c>
      <c r="I19" s="41">
        <v>11587</v>
      </c>
      <c r="J19" s="41">
        <v>7076</v>
      </c>
      <c r="K19" s="30">
        <v>5169</v>
      </c>
    </row>
    <row r="20" spans="1:15" ht="13.5" customHeight="1">
      <c r="A20" s="260"/>
      <c r="B20" s="40" t="s">
        <v>57</v>
      </c>
      <c r="C20" s="41">
        <v>0</v>
      </c>
      <c r="D20" s="41">
        <v>18502</v>
      </c>
      <c r="E20" s="41">
        <v>210</v>
      </c>
      <c r="F20" s="41">
        <v>2913</v>
      </c>
      <c r="G20" s="41">
        <v>0</v>
      </c>
      <c r="H20" s="41">
        <v>889</v>
      </c>
      <c r="I20" s="41">
        <v>0</v>
      </c>
      <c r="J20" s="41">
        <v>10684</v>
      </c>
      <c r="K20" s="30">
        <v>4712</v>
      </c>
    </row>
    <row r="21" spans="1:15" ht="13.5" customHeight="1">
      <c r="A21" s="260"/>
      <c r="B21" s="40" t="s">
        <v>58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30">
        <v>0</v>
      </c>
    </row>
    <row r="22" spans="1:15" ht="13.5" customHeight="1">
      <c r="A22" s="260"/>
      <c r="B22" s="40" t="s">
        <v>59</v>
      </c>
      <c r="C22" s="41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30">
        <v>0</v>
      </c>
    </row>
    <row r="23" spans="1:15" ht="13.5" customHeight="1">
      <c r="A23" s="260"/>
      <c r="B23" s="40" t="s">
        <v>60</v>
      </c>
      <c r="C23" s="41">
        <v>23125</v>
      </c>
      <c r="D23" s="41">
        <v>45105</v>
      </c>
      <c r="E23" s="41">
        <v>43111.22</v>
      </c>
      <c r="F23" s="41">
        <v>0</v>
      </c>
      <c r="G23" s="41">
        <v>34781</v>
      </c>
      <c r="H23" s="41">
        <v>0</v>
      </c>
      <c r="I23" s="41">
        <v>44802</v>
      </c>
      <c r="J23" s="41">
        <v>67392</v>
      </c>
      <c r="K23" s="30">
        <v>0</v>
      </c>
    </row>
    <row r="24" spans="1:15" ht="13.5" customHeight="1">
      <c r="A24" s="260"/>
      <c r="B24" s="40" t="s">
        <v>61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26868</v>
      </c>
      <c r="I24" s="41">
        <v>0</v>
      </c>
      <c r="J24" s="41">
        <v>0</v>
      </c>
      <c r="K24" s="30">
        <v>0</v>
      </c>
    </row>
    <row r="25" spans="1:15" ht="13.5" customHeight="1">
      <c r="A25" s="260"/>
      <c r="B25" s="40" t="s">
        <v>62</v>
      </c>
      <c r="C25" s="41">
        <v>0</v>
      </c>
      <c r="D25" s="41">
        <v>0</v>
      </c>
      <c r="E25" s="41">
        <v>0</v>
      </c>
      <c r="F25" s="41">
        <v>0</v>
      </c>
      <c r="G25" s="41">
        <v>15861</v>
      </c>
      <c r="H25" s="41">
        <v>0</v>
      </c>
      <c r="I25" s="41">
        <v>0</v>
      </c>
      <c r="J25" s="41">
        <v>64700</v>
      </c>
      <c r="K25" s="30">
        <v>0</v>
      </c>
    </row>
    <row r="26" spans="1:15" ht="13.5" customHeight="1">
      <c r="A26" s="260"/>
      <c r="B26" s="40" t="s">
        <v>63</v>
      </c>
      <c r="C26" s="41">
        <v>49098</v>
      </c>
      <c r="D26" s="41">
        <v>25380</v>
      </c>
      <c r="E26" s="41">
        <v>13260</v>
      </c>
      <c r="F26" s="41">
        <v>100056</v>
      </c>
      <c r="G26" s="41">
        <v>53155</v>
      </c>
      <c r="H26" s="41">
        <v>61008</v>
      </c>
      <c r="I26" s="41">
        <v>103545</v>
      </c>
      <c r="J26" s="41">
        <v>50122</v>
      </c>
      <c r="K26" s="30">
        <v>20217</v>
      </c>
    </row>
    <row r="27" spans="1:15" ht="13.5" customHeight="1">
      <c r="A27" s="260"/>
      <c r="B27" s="40" t="s">
        <v>64</v>
      </c>
      <c r="C27" s="41">
        <v>0</v>
      </c>
      <c r="D27" s="41">
        <v>0</v>
      </c>
      <c r="E27" s="41">
        <v>0</v>
      </c>
      <c r="F27" s="41">
        <v>54807</v>
      </c>
      <c r="G27" s="41">
        <v>272440</v>
      </c>
      <c r="H27" s="41">
        <v>0</v>
      </c>
      <c r="I27" s="41">
        <v>0</v>
      </c>
      <c r="J27" s="41">
        <v>28190</v>
      </c>
      <c r="K27" s="30">
        <v>0</v>
      </c>
    </row>
    <row r="28" spans="1:15" ht="13.5" customHeight="1">
      <c r="A28" s="260"/>
      <c r="B28" s="40" t="s">
        <v>65</v>
      </c>
      <c r="C28" s="41">
        <v>203073</v>
      </c>
      <c r="D28" s="41">
        <v>309090</v>
      </c>
      <c r="E28" s="41">
        <v>197893.91</v>
      </c>
      <c r="F28" s="41">
        <v>289900</v>
      </c>
      <c r="G28" s="41">
        <v>158676</v>
      </c>
      <c r="H28" s="41">
        <v>128300</v>
      </c>
      <c r="I28" s="41">
        <v>252574</v>
      </c>
      <c r="J28" s="41">
        <v>129461</v>
      </c>
      <c r="K28" s="30">
        <v>173636</v>
      </c>
      <c r="M28" s="31">
        <f>SUM(C28:H28)</f>
        <v>1286932.9100000001</v>
      </c>
    </row>
    <row r="29" spans="1:15" ht="13.5" customHeight="1">
      <c r="A29" s="260"/>
      <c r="B29" s="40" t="s">
        <v>66</v>
      </c>
      <c r="C29" s="41">
        <v>3717</v>
      </c>
      <c r="D29" s="41">
        <v>4647</v>
      </c>
      <c r="E29" s="41">
        <v>220.55</v>
      </c>
      <c r="F29" s="41">
        <v>1529</v>
      </c>
      <c r="G29" s="41">
        <v>727</v>
      </c>
      <c r="H29" s="41">
        <v>375</v>
      </c>
      <c r="I29" s="41">
        <v>1940</v>
      </c>
      <c r="J29" s="41">
        <v>0</v>
      </c>
      <c r="K29" s="30">
        <v>0</v>
      </c>
      <c r="M29" s="31">
        <f>SUM(C29:H29)</f>
        <v>11215.55</v>
      </c>
    </row>
    <row r="30" spans="1:15" ht="13.5" customHeight="1">
      <c r="A30" s="260"/>
      <c r="B30" s="40" t="s">
        <v>67</v>
      </c>
      <c r="C30" s="42">
        <v>1338</v>
      </c>
      <c r="D30" s="42">
        <v>1803</v>
      </c>
      <c r="E30" s="42">
        <v>23913.73</v>
      </c>
      <c r="F30" s="42">
        <v>21343</v>
      </c>
      <c r="G30" s="42">
        <v>2765</v>
      </c>
      <c r="H30" s="42">
        <v>11632</v>
      </c>
      <c r="I30" s="42">
        <v>1313</v>
      </c>
      <c r="J30" s="42">
        <v>14972</v>
      </c>
      <c r="K30" s="27">
        <v>3452</v>
      </c>
      <c r="M30" s="31">
        <f>SUM(C30:H30)</f>
        <v>62794.729999999996</v>
      </c>
      <c r="N30" s="31">
        <f>+M30+M29+M8</f>
        <v>55443.28</v>
      </c>
      <c r="O30" s="20" t="s">
        <v>68</v>
      </c>
    </row>
    <row r="31" spans="1:15" s="33" customFormat="1" ht="13.5" customHeight="1" thickBot="1">
      <c r="A31" s="256" t="s">
        <v>69</v>
      </c>
      <c r="B31" s="43"/>
      <c r="C31" s="44">
        <f t="shared" ref="C31:K31" si="1">SUM(C15:C30)</f>
        <v>430540</v>
      </c>
      <c r="D31" s="44">
        <f>SUM(D15:D30)</f>
        <v>654495</v>
      </c>
      <c r="E31" s="44">
        <f>SUM(E15:E30)</f>
        <v>517011.88999999996</v>
      </c>
      <c r="F31" s="44">
        <f>SUM(F15:F30)</f>
        <v>714021</v>
      </c>
      <c r="G31" s="44">
        <f t="shared" si="1"/>
        <v>748014</v>
      </c>
      <c r="H31" s="44">
        <f t="shared" si="1"/>
        <v>641526</v>
      </c>
      <c r="I31" s="44">
        <f t="shared" si="1"/>
        <v>684114</v>
      </c>
      <c r="J31" s="44">
        <f t="shared" ref="J31" si="2">SUM(J15:J30)</f>
        <v>542515</v>
      </c>
      <c r="K31" s="44">
        <f t="shared" si="1"/>
        <v>305599</v>
      </c>
      <c r="L31" s="45">
        <f>AVERAGE(C31:K31)</f>
        <v>581981.76555555547</v>
      </c>
      <c r="M31" s="45">
        <f>SUM(C31:H31)+SUM(C11:H13)</f>
        <v>4367910.8899999997</v>
      </c>
    </row>
    <row r="32" spans="1:15" ht="13.5" customHeight="1">
      <c r="A32" s="271" t="s">
        <v>71</v>
      </c>
      <c r="B32" s="87"/>
      <c r="C32" s="218"/>
      <c r="D32" s="218"/>
      <c r="E32" s="218"/>
      <c r="F32" s="218"/>
      <c r="G32" s="218"/>
      <c r="H32" s="218"/>
      <c r="I32" s="219"/>
      <c r="J32" s="219"/>
      <c r="K32" s="272"/>
    </row>
    <row r="33" spans="1:13" ht="13.5" customHeight="1">
      <c r="A33" s="260"/>
      <c r="B33" s="40" t="s">
        <v>72</v>
      </c>
      <c r="C33" s="41">
        <v>143186</v>
      </c>
      <c r="D33" s="41">
        <v>328088</v>
      </c>
      <c r="E33" s="41">
        <v>265602.55</v>
      </c>
      <c r="F33" s="41">
        <v>193029</v>
      </c>
      <c r="G33" s="41">
        <v>279607</v>
      </c>
      <c r="H33" s="41">
        <v>204136</v>
      </c>
      <c r="I33" s="41">
        <v>252269</v>
      </c>
      <c r="J33" s="41">
        <v>406927</v>
      </c>
      <c r="K33" s="30">
        <v>140807</v>
      </c>
      <c r="M33" s="31">
        <f>SUM(C33:H33)</f>
        <v>1413648.55</v>
      </c>
    </row>
    <row r="34" spans="1:13" ht="13.5" customHeight="1">
      <c r="A34" s="260"/>
      <c r="B34" s="40" t="s">
        <v>73</v>
      </c>
      <c r="C34" s="41">
        <v>199156</v>
      </c>
      <c r="D34" s="41">
        <v>191858</v>
      </c>
      <c r="E34" s="41">
        <v>234483.47</v>
      </c>
      <c r="F34" s="41">
        <v>328950</v>
      </c>
      <c r="G34" s="41">
        <v>321061</v>
      </c>
      <c r="H34" s="41">
        <v>196265</v>
      </c>
      <c r="I34" s="41">
        <v>233792</v>
      </c>
      <c r="J34" s="41">
        <v>14508</v>
      </c>
      <c r="K34" s="30">
        <v>260906</v>
      </c>
      <c r="M34" s="31">
        <f>SUM(C34:H34)</f>
        <v>1471773.47</v>
      </c>
    </row>
    <row r="35" spans="1:13" ht="13.5" customHeight="1">
      <c r="A35" s="260"/>
      <c r="B35" s="40" t="s">
        <v>74</v>
      </c>
      <c r="C35" s="41">
        <v>18043</v>
      </c>
      <c r="D35" s="41">
        <v>5377</v>
      </c>
      <c r="E35" s="41">
        <v>7514.95</v>
      </c>
      <c r="F35" s="41">
        <v>7900</v>
      </c>
      <c r="G35" s="41">
        <v>17357</v>
      </c>
      <c r="H35" s="41">
        <v>24820</v>
      </c>
      <c r="I35" s="41">
        <v>25536</v>
      </c>
      <c r="J35" s="41">
        <v>12994</v>
      </c>
      <c r="K35" s="30">
        <v>0</v>
      </c>
    </row>
    <row r="36" spans="1:13" ht="13.5" customHeight="1">
      <c r="A36" s="260"/>
      <c r="B36" s="40" t="s">
        <v>75</v>
      </c>
      <c r="C36" s="41">
        <v>8088</v>
      </c>
      <c r="D36" s="41">
        <v>49489</v>
      </c>
      <c r="E36" s="41">
        <v>14293.62</v>
      </c>
      <c r="F36" s="41">
        <v>8267</v>
      </c>
      <c r="G36" s="41">
        <v>37135</v>
      </c>
      <c r="H36" s="41">
        <v>47966</v>
      </c>
      <c r="I36" s="41">
        <v>48020</v>
      </c>
      <c r="J36" s="41">
        <v>15643</v>
      </c>
      <c r="K36" s="30">
        <v>0</v>
      </c>
    </row>
    <row r="37" spans="1:13" ht="13.5" customHeight="1">
      <c r="A37" s="260"/>
      <c r="B37" s="40" t="s">
        <v>63</v>
      </c>
      <c r="C37" s="41">
        <v>2341</v>
      </c>
      <c r="D37" s="41">
        <v>14387</v>
      </c>
      <c r="E37" s="41">
        <v>5212.3500000000004</v>
      </c>
      <c r="F37" s="41">
        <v>78263</v>
      </c>
      <c r="G37" s="41">
        <v>10701</v>
      </c>
      <c r="H37" s="41">
        <v>10221</v>
      </c>
      <c r="I37" s="41">
        <v>22221</v>
      </c>
      <c r="J37" s="41">
        <v>5540</v>
      </c>
      <c r="K37" s="30">
        <v>0</v>
      </c>
    </row>
    <row r="38" spans="1:13" ht="13.5" customHeight="1">
      <c r="A38" s="260"/>
      <c r="B38" s="40" t="s">
        <v>76</v>
      </c>
      <c r="C38" s="41">
        <v>0</v>
      </c>
      <c r="D38" s="41">
        <v>0</v>
      </c>
      <c r="E38" s="41">
        <v>11776.91</v>
      </c>
      <c r="F38" s="41">
        <v>37893</v>
      </c>
      <c r="G38" s="41">
        <v>72721</v>
      </c>
      <c r="H38" s="41">
        <v>0</v>
      </c>
      <c r="I38" s="41">
        <v>37098</v>
      </c>
      <c r="J38" s="41">
        <v>35631</v>
      </c>
      <c r="K38" s="30">
        <v>0</v>
      </c>
    </row>
    <row r="39" spans="1:13" ht="13.5" customHeight="1">
      <c r="A39" s="260"/>
      <c r="B39" s="40" t="s">
        <v>77</v>
      </c>
      <c r="C39" s="41">
        <v>0</v>
      </c>
      <c r="D39" s="41">
        <v>21512</v>
      </c>
      <c r="E39" s="41">
        <v>6850.55</v>
      </c>
      <c r="F39" s="41">
        <v>15190</v>
      </c>
      <c r="G39" s="41">
        <v>19175</v>
      </c>
      <c r="H39" s="41">
        <v>13170</v>
      </c>
      <c r="I39" s="41">
        <v>15716</v>
      </c>
      <c r="J39" s="41">
        <v>4010</v>
      </c>
      <c r="K39" s="30">
        <v>7535</v>
      </c>
    </row>
    <row r="40" spans="1:13" ht="13.5" customHeight="1">
      <c r="A40" s="260"/>
      <c r="B40" s="40" t="s">
        <v>56</v>
      </c>
      <c r="C40" s="41">
        <v>16624</v>
      </c>
      <c r="D40" s="41">
        <v>19852</v>
      </c>
      <c r="E40" s="41">
        <v>13623.17</v>
      </c>
      <c r="F40" s="41">
        <v>0</v>
      </c>
      <c r="G40" s="41">
        <v>40624</v>
      </c>
      <c r="H40" s="41">
        <v>27174</v>
      </c>
      <c r="I40" s="41">
        <v>13979</v>
      </c>
      <c r="J40" s="41">
        <v>18339</v>
      </c>
      <c r="K40" s="30">
        <v>18460</v>
      </c>
    </row>
    <row r="41" spans="1:13" ht="13.5" customHeight="1">
      <c r="A41" s="260"/>
      <c r="B41" s="40" t="s">
        <v>57</v>
      </c>
      <c r="C41" s="41">
        <v>0</v>
      </c>
      <c r="D41" s="41">
        <v>17720</v>
      </c>
      <c r="E41" s="41">
        <v>341.45</v>
      </c>
      <c r="F41" s="41">
        <v>1945</v>
      </c>
      <c r="G41" s="41">
        <v>0</v>
      </c>
      <c r="H41" s="41">
        <v>2901</v>
      </c>
      <c r="I41" s="41">
        <v>0</v>
      </c>
      <c r="J41" s="41">
        <v>3293</v>
      </c>
      <c r="K41" s="30">
        <v>0</v>
      </c>
    </row>
    <row r="42" spans="1:13" ht="13.5" customHeight="1">
      <c r="A42" s="260"/>
      <c r="B42" s="40" t="s">
        <v>58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563</v>
      </c>
      <c r="I42" s="41">
        <v>0</v>
      </c>
      <c r="J42" s="41">
        <v>0</v>
      </c>
      <c r="K42" s="30">
        <v>0</v>
      </c>
    </row>
    <row r="43" spans="1:13" ht="13.5" customHeight="1">
      <c r="A43" s="260"/>
      <c r="B43" s="40" t="s">
        <v>59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30">
        <v>0</v>
      </c>
    </row>
    <row r="44" spans="1:13" ht="13.5" customHeight="1">
      <c r="A44" s="260"/>
      <c r="B44" s="40" t="s">
        <v>78</v>
      </c>
      <c r="C44" s="41">
        <v>55395</v>
      </c>
      <c r="D44" s="41">
        <v>39342</v>
      </c>
      <c r="E44" s="41">
        <v>121916.83</v>
      </c>
      <c r="F44" s="41">
        <v>52440</v>
      </c>
      <c r="G44" s="41">
        <v>89737</v>
      </c>
      <c r="H44" s="41">
        <v>53890</v>
      </c>
      <c r="I44" s="41">
        <v>93509</v>
      </c>
      <c r="J44" s="41">
        <v>101426</v>
      </c>
      <c r="K44" s="30">
        <v>29262</v>
      </c>
    </row>
    <row r="45" spans="1:13" ht="13.5" customHeight="1">
      <c r="A45" s="260"/>
      <c r="B45" s="40" t="s">
        <v>61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57901</v>
      </c>
      <c r="K45" s="30">
        <v>0</v>
      </c>
    </row>
    <row r="46" spans="1:13" ht="13.5" customHeight="1">
      <c r="A46" s="260"/>
      <c r="B46" s="40" t="s">
        <v>79</v>
      </c>
      <c r="C46" s="41">
        <v>0</v>
      </c>
      <c r="D46" s="41">
        <v>2346</v>
      </c>
      <c r="E46" s="41">
        <v>0</v>
      </c>
      <c r="F46" s="41">
        <v>0</v>
      </c>
      <c r="G46" s="41">
        <v>28515</v>
      </c>
      <c r="H46" s="41">
        <v>17820</v>
      </c>
      <c r="I46" s="41">
        <v>0</v>
      </c>
      <c r="J46" s="41">
        <v>32109</v>
      </c>
      <c r="K46" s="30">
        <v>0</v>
      </c>
    </row>
    <row r="47" spans="1:13" ht="13.5" customHeight="1">
      <c r="A47" s="260"/>
      <c r="B47" s="40" t="s">
        <v>80</v>
      </c>
      <c r="C47" s="41">
        <v>0</v>
      </c>
      <c r="D47" s="41">
        <v>0</v>
      </c>
      <c r="E47" s="41">
        <v>0</v>
      </c>
      <c r="F47" s="41">
        <v>1000</v>
      </c>
      <c r="G47" s="41">
        <v>10407</v>
      </c>
      <c r="H47" s="41">
        <v>5131</v>
      </c>
      <c r="I47" s="41"/>
      <c r="J47" s="41">
        <v>0</v>
      </c>
      <c r="K47" s="30">
        <v>0</v>
      </c>
    </row>
    <row r="48" spans="1:13" ht="13.5" customHeight="1">
      <c r="A48" s="260"/>
      <c r="B48" s="40" t="s">
        <v>81</v>
      </c>
      <c r="C48" s="41">
        <v>-11756</v>
      </c>
      <c r="D48" s="41">
        <v>-332</v>
      </c>
      <c r="E48" s="41">
        <v>-95.7</v>
      </c>
      <c r="F48" s="41">
        <v>-19137</v>
      </c>
      <c r="G48" s="41">
        <v>12634</v>
      </c>
      <c r="H48" s="41">
        <v>8464</v>
      </c>
      <c r="I48" s="41">
        <v>-1952</v>
      </c>
      <c r="J48" s="41">
        <v>0</v>
      </c>
      <c r="K48" s="30">
        <v>0</v>
      </c>
    </row>
    <row r="49" spans="1:13" ht="13.5" customHeight="1">
      <c r="A49" s="260"/>
      <c r="B49" s="40" t="s">
        <v>82</v>
      </c>
      <c r="C49" s="41">
        <v>0</v>
      </c>
      <c r="D49" s="41">
        <v>153</v>
      </c>
      <c r="E49" s="41">
        <v>-22.85</v>
      </c>
      <c r="F49" s="41">
        <v>25</v>
      </c>
      <c r="G49" s="41">
        <v>-37</v>
      </c>
      <c r="H49" s="41">
        <v>57</v>
      </c>
      <c r="I49" s="41">
        <v>-73</v>
      </c>
      <c r="J49" s="41">
        <v>23805</v>
      </c>
      <c r="K49" s="30">
        <v>0</v>
      </c>
    </row>
    <row r="50" spans="1:13" ht="13.5" customHeight="1">
      <c r="A50" s="260"/>
      <c r="B50" s="40" t="s">
        <v>83</v>
      </c>
      <c r="C50" s="41">
        <v>0</v>
      </c>
      <c r="D50" s="41">
        <v>0</v>
      </c>
      <c r="E50" s="41">
        <v>0</v>
      </c>
      <c r="F50" s="41">
        <v>0</v>
      </c>
      <c r="G50" s="41">
        <v>0</v>
      </c>
      <c r="H50" s="41">
        <v>5010</v>
      </c>
      <c r="I50" s="41">
        <v>0</v>
      </c>
      <c r="J50" s="41">
        <v>0</v>
      </c>
      <c r="K50" s="30">
        <v>0</v>
      </c>
    </row>
    <row r="51" spans="1:13" s="33" customFormat="1" ht="13.5" customHeight="1" thickBot="1">
      <c r="A51" s="256" t="s">
        <v>84</v>
      </c>
      <c r="B51" s="43"/>
      <c r="C51" s="44">
        <f t="shared" ref="C51:K51" si="3">SUM(C33:C50)</f>
        <v>431077</v>
      </c>
      <c r="D51" s="44">
        <f>SUM(D33:D50)</f>
        <v>689792</v>
      </c>
      <c r="E51" s="44">
        <f>SUM(E33:E50)</f>
        <v>681497.30000000016</v>
      </c>
      <c r="F51" s="44">
        <f>SUM(F33:F50)</f>
        <v>705765</v>
      </c>
      <c r="G51" s="44">
        <f t="shared" si="3"/>
        <v>939637</v>
      </c>
      <c r="H51" s="44">
        <f t="shared" si="3"/>
        <v>617588</v>
      </c>
      <c r="I51" s="44">
        <f>SUM(I33:I50)</f>
        <v>740115</v>
      </c>
      <c r="J51" s="44">
        <f>SUM(J33:J50)</f>
        <v>732126</v>
      </c>
      <c r="K51" s="44">
        <f t="shared" si="3"/>
        <v>456970</v>
      </c>
      <c r="L51" s="45">
        <f>AVERAGE(C51:K51)</f>
        <v>666063.03333333344</v>
      </c>
      <c r="M51" s="45">
        <f>SUM(E51:H51)+SUM(E53:H53)</f>
        <v>3219267.3000000003</v>
      </c>
    </row>
    <row r="52" spans="1:13" ht="13.5" customHeight="1">
      <c r="A52" s="271" t="s">
        <v>85</v>
      </c>
      <c r="B52" s="87"/>
      <c r="C52" s="88"/>
      <c r="D52" s="88"/>
      <c r="E52" s="88"/>
      <c r="F52" s="88"/>
      <c r="G52" s="88"/>
      <c r="H52" s="88"/>
      <c r="I52" s="89"/>
      <c r="J52" s="89"/>
      <c r="K52" s="90"/>
    </row>
    <row r="53" spans="1:13" s="33" customFormat="1" ht="13.5" customHeight="1">
      <c r="A53" s="258"/>
      <c r="B53" s="34" t="s">
        <v>86</v>
      </c>
      <c r="C53" s="35">
        <v>53387</v>
      </c>
      <c r="D53" s="35">
        <v>90462</v>
      </c>
      <c r="E53" s="35">
        <v>58731</v>
      </c>
      <c r="F53" s="35">
        <v>48934</v>
      </c>
      <c r="G53" s="35">
        <v>82868</v>
      </c>
      <c r="H53" s="35">
        <v>84247</v>
      </c>
      <c r="I53" s="35">
        <v>45522</v>
      </c>
      <c r="J53" s="35">
        <v>71369</v>
      </c>
      <c r="K53" s="35">
        <v>53242</v>
      </c>
      <c r="M53" s="31">
        <f>SUM(C53:H53)</f>
        <v>418629</v>
      </c>
    </row>
    <row r="54" spans="1:13" s="33" customFormat="1" ht="13.5" customHeight="1">
      <c r="A54" s="261"/>
      <c r="B54" s="47" t="s">
        <v>207</v>
      </c>
      <c r="C54" s="53">
        <v>215605</v>
      </c>
      <c r="D54" s="53">
        <v>446535</v>
      </c>
      <c r="E54" s="53">
        <v>341644</v>
      </c>
      <c r="F54" s="53">
        <v>180093</v>
      </c>
      <c r="G54" s="53">
        <v>220967</v>
      </c>
      <c r="H54" s="53">
        <v>343910</v>
      </c>
      <c r="I54" s="53">
        <v>0</v>
      </c>
      <c r="J54" s="53">
        <v>0</v>
      </c>
      <c r="K54" s="53">
        <v>0</v>
      </c>
      <c r="M54" s="31">
        <f>SUM(C54:H54)</f>
        <v>1748754</v>
      </c>
    </row>
    <row r="55" spans="1:13" s="33" customFormat="1" ht="13.5" customHeight="1">
      <c r="A55" s="257" t="s">
        <v>208</v>
      </c>
      <c r="B55" s="47"/>
      <c r="C55" s="35">
        <f t="shared" ref="C55:I55" si="4">+C31-C51</f>
        <v>-537</v>
      </c>
      <c r="D55" s="35">
        <f t="shared" si="4"/>
        <v>-35297</v>
      </c>
      <c r="E55" s="35">
        <f t="shared" si="4"/>
        <v>-164485.41000000021</v>
      </c>
      <c r="F55" s="35">
        <f t="shared" si="4"/>
        <v>8256</v>
      </c>
      <c r="G55" s="35">
        <f t="shared" si="4"/>
        <v>-191623</v>
      </c>
      <c r="H55" s="35">
        <f t="shared" si="4"/>
        <v>23938</v>
      </c>
      <c r="I55" s="35">
        <f t="shared" si="4"/>
        <v>-56001</v>
      </c>
      <c r="J55" s="35">
        <f t="shared" ref="J55" si="5">+J31-J51</f>
        <v>-189611</v>
      </c>
      <c r="K55" s="35">
        <f t="shared" ref="K55" si="6">+K31-K51</f>
        <v>-151371</v>
      </c>
      <c r="L55" s="45">
        <f>AVERAGE(C55:K55)</f>
        <v>-84081.267777777801</v>
      </c>
    </row>
    <row r="56" spans="1:13" s="33" customFormat="1" ht="13.5" customHeight="1">
      <c r="A56" s="257" t="s">
        <v>209</v>
      </c>
      <c r="B56" s="47"/>
      <c r="C56" s="35">
        <f>+C31-C51-C53-C54</f>
        <v>-269529</v>
      </c>
      <c r="D56" s="35">
        <f t="shared" ref="D56:I56" si="7">+D31-D51-D53-D54</f>
        <v>-572294</v>
      </c>
      <c r="E56" s="35">
        <f t="shared" si="7"/>
        <v>-564860.41000000015</v>
      </c>
      <c r="F56" s="35">
        <f t="shared" si="7"/>
        <v>-220771</v>
      </c>
      <c r="G56" s="35">
        <f t="shared" si="7"/>
        <v>-495458</v>
      </c>
      <c r="H56" s="35">
        <f t="shared" si="7"/>
        <v>-404219</v>
      </c>
      <c r="I56" s="35">
        <f t="shared" si="7"/>
        <v>-101523</v>
      </c>
      <c r="J56" s="35">
        <f t="shared" ref="J56" si="8">+J31-J51-J53-J54</f>
        <v>-260980</v>
      </c>
      <c r="K56" s="35">
        <f t="shared" ref="K56" si="9">+K31-K51-K53-K54</f>
        <v>-204613</v>
      </c>
      <c r="L56" s="45">
        <f>AVERAGE(C56:K56)</f>
        <v>-343805.2677777778</v>
      </c>
    </row>
    <row r="57" spans="1:13" s="33" customFormat="1" ht="13.5" customHeight="1">
      <c r="A57" s="257" t="s">
        <v>210</v>
      </c>
      <c r="B57" s="47"/>
      <c r="C57" s="35">
        <f t="shared" ref="C57:I57" si="10">+C11+C12+C13+C31+-C51</f>
        <v>49886</v>
      </c>
      <c r="D57" s="35">
        <f t="shared" si="10"/>
        <v>49146</v>
      </c>
      <c r="E57" s="35">
        <f t="shared" si="10"/>
        <v>93245.589999999735</v>
      </c>
      <c r="F57" s="35">
        <f t="shared" si="10"/>
        <v>55634</v>
      </c>
      <c r="G57" s="35">
        <f t="shared" si="10"/>
        <v>-78813</v>
      </c>
      <c r="H57" s="35">
        <f t="shared" si="10"/>
        <v>133456</v>
      </c>
      <c r="I57" s="35">
        <f t="shared" si="10"/>
        <v>-7270</v>
      </c>
      <c r="J57" s="35">
        <f t="shared" ref="J57" si="11">+J11+J12+J13+J31+-J51</f>
        <v>-28848</v>
      </c>
      <c r="K57" s="35">
        <f t="shared" ref="K57" si="12">+K11+K12+K13+K31+-K51</f>
        <v>9956</v>
      </c>
      <c r="L57" s="45">
        <f>AVERAGE(C57:K57)</f>
        <v>30710.287777777747</v>
      </c>
    </row>
    <row r="58" spans="1:13" s="33" customFormat="1" ht="13.5" customHeight="1">
      <c r="A58" s="257" t="s">
        <v>211</v>
      </c>
      <c r="B58" s="47"/>
      <c r="C58" s="35">
        <f>+C11+C12+C13+C31-C51-C53-C54</f>
        <v>-219106</v>
      </c>
      <c r="D58" s="35">
        <f t="shared" ref="D58:I58" si="13">+D11+D12+D13+D31-D51-D53-D54</f>
        <v>-487851</v>
      </c>
      <c r="E58" s="35">
        <f t="shared" si="13"/>
        <v>-307129.41000000027</v>
      </c>
      <c r="F58" s="35">
        <f t="shared" si="13"/>
        <v>-173393</v>
      </c>
      <c r="G58" s="35">
        <f t="shared" si="13"/>
        <v>-382648</v>
      </c>
      <c r="H58" s="35">
        <f t="shared" si="13"/>
        <v>-294701</v>
      </c>
      <c r="I58" s="35">
        <f t="shared" si="13"/>
        <v>-52792</v>
      </c>
      <c r="J58" s="35">
        <f t="shared" ref="J58" si="14">+J11+J12+J13+J31-J51-J53-J54</f>
        <v>-100217</v>
      </c>
      <c r="K58" s="35">
        <f t="shared" ref="K58" si="15">+K11+K12+K13+K31-K51-K53-K54</f>
        <v>-43286</v>
      </c>
      <c r="L58" s="45">
        <f>AVERAGE(C58:K58)</f>
        <v>-229013.71222222224</v>
      </c>
      <c r="M58" s="45">
        <f>SUM(C58:H58)</f>
        <v>-1864828.4100000001</v>
      </c>
    </row>
    <row r="59" spans="1:13" ht="13.5" customHeight="1">
      <c r="A59" s="255" t="s">
        <v>206</v>
      </c>
      <c r="B59" s="22"/>
      <c r="C59" s="49"/>
      <c r="D59" s="49"/>
      <c r="E59" s="49"/>
      <c r="F59" s="49"/>
      <c r="G59" s="49"/>
      <c r="H59" s="49"/>
      <c r="I59" s="48"/>
      <c r="J59" s="48"/>
      <c r="K59" s="49"/>
    </row>
    <row r="60" spans="1:13" s="60" customFormat="1" ht="13.5" customHeight="1">
      <c r="A60" s="262"/>
      <c r="B60" s="238" t="s">
        <v>42</v>
      </c>
      <c r="C60" s="27">
        <v>118753</v>
      </c>
      <c r="D60" s="27">
        <v>246325</v>
      </c>
      <c r="E60" s="27">
        <v>57573</v>
      </c>
      <c r="F60" s="27">
        <v>107740</v>
      </c>
      <c r="G60" s="27">
        <v>66918</v>
      </c>
      <c r="H60" s="27">
        <v>484161</v>
      </c>
      <c r="I60" s="27">
        <v>106785</v>
      </c>
      <c r="J60" s="27">
        <v>78283</v>
      </c>
      <c r="K60" s="27">
        <v>-128996</v>
      </c>
      <c r="L60" s="241">
        <f>SUM(C60:K60)/9</f>
        <v>126393.55555555556</v>
      </c>
    </row>
    <row r="61" spans="1:13" s="60" customFormat="1" ht="13.5" customHeight="1">
      <c r="A61" s="262"/>
      <c r="B61" s="238" t="s">
        <v>220</v>
      </c>
      <c r="C61" s="27">
        <v>-193448</v>
      </c>
      <c r="D61" s="27">
        <v>-400504</v>
      </c>
      <c r="E61" s="27">
        <v>-297560</v>
      </c>
      <c r="F61" s="27">
        <v>-142250</v>
      </c>
      <c r="G61" s="27">
        <v>-186737</v>
      </c>
      <c r="H61" s="27">
        <v>-316659</v>
      </c>
      <c r="I61" s="27">
        <v>0</v>
      </c>
      <c r="J61" s="27">
        <v>0</v>
      </c>
      <c r="K61" s="27">
        <v>0</v>
      </c>
      <c r="L61" s="241"/>
    </row>
    <row r="62" spans="1:13" s="60" customFormat="1" ht="13.5" customHeight="1">
      <c r="A62" s="262"/>
      <c r="B62" s="238" t="s">
        <v>43</v>
      </c>
      <c r="C62" s="27">
        <v>0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10547</v>
      </c>
      <c r="J62" s="27">
        <v>0</v>
      </c>
      <c r="K62" s="27">
        <v>0</v>
      </c>
      <c r="L62" s="108">
        <f>MAX(C60:K60)</f>
        <v>484161</v>
      </c>
    </row>
    <row r="63" spans="1:13" s="240" customFormat="1" ht="13.5" customHeight="1">
      <c r="A63" s="262"/>
      <c r="B63" s="238" t="s">
        <v>44</v>
      </c>
      <c r="C63" s="27">
        <v>1030534</v>
      </c>
      <c r="D63" s="27">
        <v>995184</v>
      </c>
      <c r="E63" s="27">
        <v>870776</v>
      </c>
      <c r="F63" s="27">
        <v>643259</v>
      </c>
      <c r="G63" s="27">
        <v>1309111</v>
      </c>
      <c r="H63" s="27">
        <v>1604217</v>
      </c>
      <c r="I63" s="27">
        <v>810880</v>
      </c>
      <c r="J63" s="27">
        <v>1098691</v>
      </c>
      <c r="K63" s="27">
        <v>374376</v>
      </c>
      <c r="L63" s="242">
        <f>MIN(C60:K60)</f>
        <v>-128996</v>
      </c>
    </row>
    <row r="64" spans="1:13" s="33" customFormat="1" ht="13.5" customHeight="1">
      <c r="A64" s="257"/>
      <c r="B64" s="52" t="s">
        <v>46</v>
      </c>
      <c r="C64" s="68">
        <f t="shared" ref="C64:K64" si="16">SUM(C60:C63)</f>
        <v>955839</v>
      </c>
      <c r="D64" s="68">
        <f t="shared" si="16"/>
        <v>841005</v>
      </c>
      <c r="E64" s="68">
        <f t="shared" si="16"/>
        <v>630789</v>
      </c>
      <c r="F64" s="68">
        <f>SUM(F60:F63)</f>
        <v>608749</v>
      </c>
      <c r="G64" s="68">
        <f t="shared" si="16"/>
        <v>1189292</v>
      </c>
      <c r="H64" s="68">
        <f t="shared" si="16"/>
        <v>1771719</v>
      </c>
      <c r="I64" s="68">
        <f t="shared" si="16"/>
        <v>928212</v>
      </c>
      <c r="J64" s="68">
        <f t="shared" ref="J64" si="17">SUM(J60:J63)</f>
        <v>1176974</v>
      </c>
      <c r="K64" s="68">
        <f t="shared" si="16"/>
        <v>245380</v>
      </c>
      <c r="L64" s="92"/>
    </row>
    <row r="65" spans="1:12" s="56" customFormat="1" ht="13.5" customHeight="1">
      <c r="A65" s="263" t="s">
        <v>87</v>
      </c>
      <c r="B65" s="224"/>
      <c r="C65" s="273">
        <f t="shared" ref="C65:H65" si="18">C60/(C51)</f>
        <v>0.27547978667384249</v>
      </c>
      <c r="D65" s="273">
        <f t="shared" si="18"/>
        <v>0.35710040128038595</v>
      </c>
      <c r="E65" s="273">
        <f t="shared" si="18"/>
        <v>8.4480158615448636E-2</v>
      </c>
      <c r="F65" s="273">
        <f>F60/(F51)</f>
        <v>0.15265704590054763</v>
      </c>
      <c r="G65" s="273">
        <f t="shared" si="18"/>
        <v>7.1216863533470898E-2</v>
      </c>
      <c r="H65" s="274">
        <f t="shared" si="18"/>
        <v>0.78395467528514151</v>
      </c>
      <c r="I65" s="273">
        <f>I60/I51</f>
        <v>0.14428163190855475</v>
      </c>
      <c r="J65" s="273">
        <f>J60/J51</f>
        <v>0.10692558384758907</v>
      </c>
      <c r="K65" s="273">
        <f>K60/K51</f>
        <v>-0.28228548920060398</v>
      </c>
      <c r="L65" s="232">
        <f>AVERAGE(C65:K65)</f>
        <v>0.18820118420493079</v>
      </c>
    </row>
    <row r="66" spans="1:12" s="96" customFormat="1" ht="12.75" hidden="1" customHeight="1">
      <c r="A66" s="222"/>
      <c r="B66" s="62" t="s">
        <v>88</v>
      </c>
      <c r="C66" s="94">
        <f t="shared" ref="C66:F66" si="19">+C9+C11+C12+C13+C31-C51-C53-C64-C54</f>
        <v>4</v>
      </c>
      <c r="D66" s="94">
        <f>+D9+D11+D12+D13+D31-D51-D53-D64-D54</f>
        <v>1</v>
      </c>
      <c r="E66" s="94">
        <f t="shared" si="19"/>
        <v>0.58999999973457307</v>
      </c>
      <c r="F66" s="94">
        <f t="shared" si="19"/>
        <v>4</v>
      </c>
      <c r="G66" s="94">
        <f>+G9+G11+G12+G13+G31-G51-G53-G64-G54</f>
        <v>2</v>
      </c>
      <c r="H66" s="94">
        <f t="shared" ref="H66:K66" si="20">+H9+H11+H12+H13+H31-H51-H53-H64-H54</f>
        <v>-7</v>
      </c>
      <c r="I66" s="94">
        <f t="shared" si="20"/>
        <v>2</v>
      </c>
      <c r="J66" s="94">
        <f t="shared" ref="J66" si="21">+J9+J11+J12+J13+J31-J51-J53-J64-J54</f>
        <v>2</v>
      </c>
      <c r="K66" s="94">
        <f t="shared" si="20"/>
        <v>0</v>
      </c>
      <c r="L66" s="95"/>
    </row>
    <row r="67" spans="1:12" s="96" customFormat="1" ht="12.75" hidden="1" customHeight="1">
      <c r="A67" s="234"/>
      <c r="B67" s="234"/>
      <c r="C67" s="58">
        <f>+C9+C58-C64</f>
        <v>4</v>
      </c>
      <c r="D67" s="58">
        <f t="shared" ref="D67:K67" si="22">+D9+D58-D64</f>
        <v>1</v>
      </c>
      <c r="E67" s="58">
        <f t="shared" si="22"/>
        <v>0.58999999973457307</v>
      </c>
      <c r="F67" s="58">
        <f t="shared" si="22"/>
        <v>4</v>
      </c>
      <c r="G67" s="58">
        <f t="shared" si="22"/>
        <v>2</v>
      </c>
      <c r="H67" s="58">
        <f t="shared" si="22"/>
        <v>-7</v>
      </c>
      <c r="I67" s="58">
        <f t="shared" si="22"/>
        <v>2</v>
      </c>
      <c r="J67" s="58">
        <f t="shared" ref="J67" si="23">+J9+J58-J64</f>
        <v>2</v>
      </c>
      <c r="K67" s="58">
        <f t="shared" si="22"/>
        <v>0</v>
      </c>
      <c r="L67" s="95"/>
    </row>
    <row r="68" spans="1:12" s="96" customFormat="1" ht="13.5" customHeight="1">
      <c r="A68" s="234"/>
      <c r="B68" s="234"/>
      <c r="C68" s="58"/>
      <c r="D68" s="58"/>
      <c r="E68" s="58"/>
      <c r="F68" s="58"/>
      <c r="G68" s="58"/>
      <c r="H68" s="58"/>
      <c r="I68" s="58"/>
      <c r="J68" s="58"/>
      <c r="K68" s="58"/>
      <c r="L68" s="95"/>
    </row>
    <row r="69" spans="1:12" s="96" customFormat="1" ht="13.5" customHeight="1">
      <c r="A69" s="213" t="s">
        <v>199</v>
      </c>
      <c r="B69" s="63"/>
      <c r="C69" s="63"/>
      <c r="D69" s="63"/>
      <c r="E69" s="163"/>
      <c r="F69" s="94"/>
      <c r="G69" s="94"/>
      <c r="H69" s="80"/>
      <c r="I69" s="80"/>
      <c r="J69" s="80"/>
      <c r="K69" s="94"/>
      <c r="L69" s="95"/>
    </row>
    <row r="70" spans="1:12" s="96" customFormat="1" ht="13.5" customHeight="1">
      <c r="A70" s="210" t="s">
        <v>200</v>
      </c>
      <c r="B70" s="63"/>
      <c r="C70" s="63"/>
      <c r="D70" s="63"/>
      <c r="E70" s="163"/>
      <c r="F70" s="94"/>
      <c r="G70" s="94"/>
      <c r="H70" s="80"/>
      <c r="I70" s="80"/>
      <c r="J70" s="80"/>
      <c r="K70" s="94"/>
      <c r="L70" s="95"/>
    </row>
    <row r="71" spans="1:12" s="96" customFormat="1" ht="13.5" customHeight="1">
      <c r="A71" s="211" t="s">
        <v>89</v>
      </c>
      <c r="B71" s="63"/>
      <c r="C71" s="63"/>
      <c r="D71" s="63"/>
      <c r="E71" s="163"/>
      <c r="F71" s="94"/>
      <c r="G71" s="94"/>
      <c r="H71" s="80"/>
      <c r="I71" s="80"/>
      <c r="J71" s="80"/>
      <c r="K71" s="94"/>
      <c r="L71" s="95"/>
    </row>
    <row r="72" spans="1:12" s="96" customFormat="1" ht="13.5" customHeight="1">
      <c r="A72" s="212"/>
      <c r="B72" s="63"/>
      <c r="C72" s="63"/>
      <c r="D72" s="63"/>
      <c r="E72" s="163"/>
      <c r="F72" s="94"/>
      <c r="G72" s="94"/>
      <c r="H72" s="80"/>
      <c r="I72" s="80"/>
      <c r="J72" s="80"/>
      <c r="K72" s="94"/>
      <c r="L72" s="95"/>
    </row>
    <row r="73" spans="1:12" ht="12.75" customHeight="1">
      <c r="A73" s="210" t="s">
        <v>201</v>
      </c>
      <c r="B73" s="63"/>
      <c r="C73" s="63"/>
      <c r="D73" s="63"/>
      <c r="E73" s="159"/>
      <c r="H73" s="60"/>
      <c r="I73" s="60"/>
      <c r="J73" s="60"/>
      <c r="K73" s="20"/>
      <c r="L73" s="97"/>
    </row>
    <row r="74" spans="1:12" ht="12.75" customHeight="1">
      <c r="A74" s="210" t="s">
        <v>90</v>
      </c>
      <c r="B74" s="63"/>
      <c r="C74" s="63"/>
      <c r="D74" s="63"/>
      <c r="E74" s="159"/>
      <c r="H74" s="60"/>
      <c r="I74" s="60"/>
      <c r="J74" s="60"/>
      <c r="K74" s="20"/>
      <c r="L74" s="97"/>
    </row>
    <row r="75" spans="1:12" ht="12.75" customHeight="1">
      <c r="A75" s="210" t="s">
        <v>91</v>
      </c>
      <c r="B75" s="236"/>
      <c r="C75" s="158"/>
      <c r="D75" s="158"/>
      <c r="E75" s="159"/>
      <c r="K75" s="20"/>
      <c r="L75" s="97"/>
    </row>
    <row r="76" spans="1:12" ht="12.75" customHeight="1">
      <c r="A76" s="61"/>
      <c r="B76" s="98"/>
      <c r="C76" s="99"/>
      <c r="D76" s="99"/>
      <c r="K76" s="20"/>
      <c r="L76" s="97"/>
    </row>
    <row r="77" spans="1:12" ht="10.5" customHeight="1">
      <c r="A77" s="368"/>
      <c r="B77" s="369"/>
      <c r="C77" s="252"/>
      <c r="D77" s="252"/>
      <c r="E77" s="252"/>
      <c r="F77" s="252"/>
      <c r="G77" s="252"/>
      <c r="H77" s="252"/>
      <c r="I77" s="252"/>
      <c r="J77" s="252"/>
      <c r="K77" s="252"/>
    </row>
    <row r="78" spans="1:12" ht="77.25" customHeight="1">
      <c r="A78" s="370"/>
      <c r="B78" s="371"/>
      <c r="C78" s="251" t="str">
        <f>C2</f>
        <v>29th DAA, Mother Lode Fair</v>
      </c>
      <c r="D78" s="251" t="str">
        <f>D2</f>
        <v>35-A DAA, Mariposa County Fair</v>
      </c>
      <c r="E78" s="251" t="str">
        <f>E2</f>
        <v>41st DAA, 
Del Norte County Fair</v>
      </c>
      <c r="F78" s="251" t="s">
        <v>134</v>
      </c>
      <c r="G78" s="251" t="str">
        <f>G2</f>
        <v>44th DAA, Colusa County Fair</v>
      </c>
      <c r="H78" s="251" t="str">
        <f>H2</f>
        <v>49th DAA, Lake County Fair</v>
      </c>
      <c r="I78" s="251" t="str">
        <f>I2</f>
        <v>Butte County Fair</v>
      </c>
      <c r="J78" s="341" t="str">
        <f>J2</f>
        <v>Lassen County Fair FY 15/16</v>
      </c>
      <c r="K78" s="251" t="str">
        <f>K2</f>
        <v>Plumas-Sierra County Fair 
FY 15/16</v>
      </c>
    </row>
    <row r="79" spans="1:12" ht="13.5" customHeight="1">
      <c r="A79" s="255" t="s">
        <v>92</v>
      </c>
      <c r="B79" s="40"/>
      <c r="C79" s="65"/>
      <c r="D79" s="65"/>
      <c r="E79" s="65"/>
      <c r="F79" s="65"/>
      <c r="G79" s="65"/>
      <c r="H79" s="65"/>
      <c r="I79" s="64"/>
      <c r="J79" s="64"/>
      <c r="K79" s="66"/>
    </row>
    <row r="80" spans="1:12" ht="13.5" customHeight="1">
      <c r="A80" s="255" t="s">
        <v>93</v>
      </c>
      <c r="B80" s="40"/>
      <c r="C80" s="65"/>
      <c r="D80" s="65"/>
      <c r="E80" s="65"/>
      <c r="F80" s="65"/>
      <c r="G80" s="65"/>
      <c r="H80" s="65"/>
      <c r="I80" s="64"/>
      <c r="J80" s="64"/>
      <c r="K80" s="66"/>
    </row>
    <row r="81" spans="1:13" ht="13.5" customHeight="1">
      <c r="A81" s="260"/>
      <c r="B81" s="40" t="s">
        <v>94</v>
      </c>
      <c r="C81" s="41"/>
      <c r="D81" s="41"/>
      <c r="E81" s="41"/>
      <c r="F81" s="41"/>
      <c r="G81" s="41"/>
      <c r="H81" s="41"/>
      <c r="I81" s="29"/>
      <c r="J81" s="29"/>
      <c r="K81" s="30"/>
    </row>
    <row r="82" spans="1:13" ht="13.5" customHeight="1">
      <c r="A82" s="260"/>
      <c r="B82" s="40" t="s">
        <v>95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5">
        <v>0</v>
      </c>
      <c r="M82" s="67">
        <f t="shared" ref="M82" si="24">SUM(C82:I82)</f>
        <v>0</v>
      </c>
    </row>
    <row r="83" spans="1:13" ht="13.5" customHeight="1">
      <c r="A83" s="260"/>
      <c r="B83" s="40" t="s">
        <v>96</v>
      </c>
      <c r="C83" s="41">
        <v>188142</v>
      </c>
      <c r="D83" s="41">
        <v>323403</v>
      </c>
      <c r="E83" s="41">
        <f>85599.82+18442.97</f>
        <v>104042.79000000001</v>
      </c>
      <c r="F83" s="41">
        <v>190865</v>
      </c>
      <c r="G83" s="41">
        <v>407069</v>
      </c>
      <c r="H83" s="41">
        <v>653859</v>
      </c>
      <c r="I83" s="41">
        <v>207987</v>
      </c>
      <c r="J83" s="41">
        <v>79630</v>
      </c>
      <c r="K83" s="30">
        <v>43439</v>
      </c>
      <c r="M83" s="67">
        <f>SUM(C83:H83)</f>
        <v>1867380.79</v>
      </c>
    </row>
    <row r="84" spans="1:13" ht="13.5" customHeight="1">
      <c r="A84" s="260"/>
      <c r="B84" s="40" t="s">
        <v>97</v>
      </c>
      <c r="C84" s="41">
        <v>3062</v>
      </c>
      <c r="D84" s="41">
        <v>19331</v>
      </c>
      <c r="E84" s="41">
        <f>17106.47+830.2</f>
        <v>17936.670000000002</v>
      </c>
      <c r="F84" s="41">
        <v>51608</v>
      </c>
      <c r="G84" s="41">
        <v>48000</v>
      </c>
      <c r="H84" s="41">
        <v>669</v>
      </c>
      <c r="I84" s="41">
        <v>14041</v>
      </c>
      <c r="J84" s="41">
        <v>61219</v>
      </c>
      <c r="K84" s="30">
        <v>0</v>
      </c>
      <c r="M84" s="67">
        <f t="shared" ref="M84:M92" si="25">SUM(C84:H84)</f>
        <v>140606.66999999998</v>
      </c>
    </row>
    <row r="85" spans="1:13" ht="13.5" customHeight="1">
      <c r="A85" s="260"/>
      <c r="B85" s="40" t="s">
        <v>98</v>
      </c>
      <c r="C85" s="41">
        <v>776</v>
      </c>
      <c r="D85" s="41">
        <v>16</v>
      </c>
      <c r="E85" s="41">
        <v>9704.48</v>
      </c>
      <c r="F85" s="41">
        <v>0</v>
      </c>
      <c r="G85" s="41">
        <v>3629</v>
      </c>
      <c r="H85" s="41">
        <v>0</v>
      </c>
      <c r="I85" s="41">
        <v>1582</v>
      </c>
      <c r="J85" s="41">
        <v>0</v>
      </c>
      <c r="K85" s="30">
        <v>3569</v>
      </c>
      <c r="M85" s="67">
        <f t="shared" si="25"/>
        <v>14125.48</v>
      </c>
    </row>
    <row r="86" spans="1:13" ht="13.5" customHeight="1">
      <c r="A86" s="260"/>
      <c r="B86" s="40" t="s">
        <v>99</v>
      </c>
      <c r="C86" s="41">
        <v>0</v>
      </c>
      <c r="D86" s="41">
        <v>0</v>
      </c>
      <c r="E86" s="41">
        <v>0</v>
      </c>
      <c r="F86" s="41">
        <v>0</v>
      </c>
      <c r="G86" s="41">
        <v>0</v>
      </c>
      <c r="H86" s="41">
        <v>0</v>
      </c>
      <c r="I86" s="41">
        <v>0</v>
      </c>
      <c r="J86" s="41">
        <v>0</v>
      </c>
      <c r="K86" s="30">
        <v>0</v>
      </c>
      <c r="M86" s="67">
        <f t="shared" si="25"/>
        <v>0</v>
      </c>
    </row>
    <row r="87" spans="1:13" ht="13.5" customHeight="1">
      <c r="A87" s="260"/>
      <c r="B87" s="40" t="s">
        <v>100</v>
      </c>
      <c r="C87" s="41">
        <v>10607</v>
      </c>
      <c r="D87" s="41">
        <v>9533</v>
      </c>
      <c r="E87" s="41">
        <v>16506.349999999999</v>
      </c>
      <c r="F87" s="41">
        <v>2941</v>
      </c>
      <c r="G87" s="41">
        <v>2778</v>
      </c>
      <c r="H87" s="41">
        <v>20434</v>
      </c>
      <c r="I87" s="41">
        <v>0</v>
      </c>
      <c r="J87" s="41">
        <v>0</v>
      </c>
      <c r="K87" s="30">
        <v>0</v>
      </c>
      <c r="M87" s="67">
        <f t="shared" si="25"/>
        <v>62799.35</v>
      </c>
    </row>
    <row r="88" spans="1:13" ht="13.5" customHeight="1">
      <c r="A88" s="260"/>
      <c r="B88" s="40" t="s">
        <v>101</v>
      </c>
      <c r="C88" s="41">
        <v>239127</v>
      </c>
      <c r="D88" s="41">
        <v>5243</v>
      </c>
      <c r="E88" s="41">
        <v>30352.53</v>
      </c>
      <c r="F88" s="41">
        <v>16264</v>
      </c>
      <c r="G88" s="41">
        <v>3298</v>
      </c>
      <c r="H88" s="41">
        <v>240662</v>
      </c>
      <c r="I88" s="41">
        <v>0</v>
      </c>
      <c r="J88" s="41">
        <v>86871</v>
      </c>
      <c r="K88" s="30">
        <v>28220</v>
      </c>
      <c r="M88" s="67">
        <f t="shared" si="25"/>
        <v>534946.53</v>
      </c>
    </row>
    <row r="89" spans="1:13" ht="13.5" customHeight="1">
      <c r="A89" s="260"/>
      <c r="B89" s="40" t="s">
        <v>102</v>
      </c>
      <c r="C89" s="41">
        <v>2506062</v>
      </c>
      <c r="D89" s="41">
        <v>3814692</v>
      </c>
      <c r="E89" s="41">
        <v>2702646.12</v>
      </c>
      <c r="F89" s="41">
        <v>2683914</v>
      </c>
      <c r="G89" s="41">
        <v>3188195</v>
      </c>
      <c r="H89" s="41">
        <v>4018661</v>
      </c>
      <c r="I89" s="41">
        <v>2410725</v>
      </c>
      <c r="J89" s="41">
        <v>1864228</v>
      </c>
      <c r="K89" s="30">
        <v>161566</v>
      </c>
      <c r="M89" s="67">
        <f t="shared" si="25"/>
        <v>18914170.120000001</v>
      </c>
    </row>
    <row r="90" spans="1:13" ht="13.5" customHeight="1">
      <c r="A90" s="260"/>
      <c r="B90" s="40" t="s">
        <v>103</v>
      </c>
      <c r="C90" s="41">
        <v>250168</v>
      </c>
      <c r="D90" s="41">
        <v>153428</v>
      </c>
      <c r="E90" s="41">
        <v>186683.89</v>
      </c>
      <c r="F90" s="41">
        <v>67419</v>
      </c>
      <c r="G90" s="41">
        <v>159751</v>
      </c>
      <c r="H90" s="41">
        <v>106219</v>
      </c>
      <c r="I90" s="41">
        <v>114230</v>
      </c>
      <c r="J90" s="41">
        <v>295108</v>
      </c>
      <c r="K90" s="30">
        <v>190269</v>
      </c>
      <c r="M90" s="67">
        <f t="shared" si="25"/>
        <v>923668.89</v>
      </c>
    </row>
    <row r="91" spans="1:13" ht="13.5" customHeight="1">
      <c r="A91" s="260"/>
      <c r="B91" s="40" t="s">
        <v>104</v>
      </c>
      <c r="C91" s="41">
        <v>0</v>
      </c>
      <c r="D91" s="41">
        <v>0</v>
      </c>
      <c r="E91" s="41">
        <v>0</v>
      </c>
      <c r="F91" s="41">
        <v>0</v>
      </c>
      <c r="G91" s="41">
        <v>0</v>
      </c>
      <c r="H91" s="41">
        <v>0</v>
      </c>
      <c r="I91" s="41">
        <v>0</v>
      </c>
      <c r="J91" s="41">
        <v>189260</v>
      </c>
      <c r="K91" s="30">
        <v>1053642</v>
      </c>
      <c r="M91" s="67">
        <f t="shared" si="25"/>
        <v>0</v>
      </c>
    </row>
    <row r="92" spans="1:13" ht="13.5" customHeight="1">
      <c r="A92" s="260"/>
      <c r="B92" s="40" t="s">
        <v>186</v>
      </c>
      <c r="C92" s="41">
        <v>0</v>
      </c>
      <c r="D92" s="41">
        <v>0</v>
      </c>
      <c r="E92" s="41">
        <v>0</v>
      </c>
      <c r="F92" s="41">
        <v>0</v>
      </c>
      <c r="G92" s="41">
        <v>0</v>
      </c>
      <c r="H92" s="41">
        <v>0</v>
      </c>
      <c r="I92" s="41">
        <v>0</v>
      </c>
      <c r="J92" s="41">
        <v>0</v>
      </c>
      <c r="K92" s="30">
        <v>0</v>
      </c>
      <c r="M92" s="67">
        <f t="shared" si="25"/>
        <v>0</v>
      </c>
    </row>
    <row r="93" spans="1:13" ht="13.5" customHeight="1">
      <c r="A93" s="260"/>
      <c r="B93" s="40" t="s">
        <v>105</v>
      </c>
      <c r="C93" s="41">
        <f>-1725261-250168</f>
        <v>-1975429</v>
      </c>
      <c r="D93" s="41">
        <f>-2831571-147097</f>
        <v>-2978668</v>
      </c>
      <c r="E93" s="41">
        <f>-1883833.12-155982.61</f>
        <v>-2039815.73</v>
      </c>
      <c r="F93" s="41">
        <f>-2059861-67419</f>
        <v>-2127280</v>
      </c>
      <c r="G93" s="41">
        <f>-1910526-134385</f>
        <v>-2044911</v>
      </c>
      <c r="H93" s="41">
        <f>-2688087-93673</f>
        <v>-2781760</v>
      </c>
      <c r="I93" s="41">
        <f>-1599845-114230</f>
        <v>-1714075</v>
      </c>
      <c r="J93" s="41">
        <f>-1036871-236796-63109</f>
        <v>-1336776</v>
      </c>
      <c r="K93" s="30">
        <f>-138115-180866-740340</f>
        <v>-1059321</v>
      </c>
      <c r="M93" s="67">
        <f>SUM(C87:H93)</f>
        <v>6487721.1600000001</v>
      </c>
    </row>
    <row r="94" spans="1:13" ht="13.5" customHeight="1">
      <c r="A94" s="260"/>
      <c r="B94" s="40" t="s">
        <v>106</v>
      </c>
      <c r="C94" s="41">
        <v>0</v>
      </c>
      <c r="D94" s="41">
        <v>0</v>
      </c>
      <c r="E94" s="41">
        <v>0</v>
      </c>
      <c r="F94" s="41">
        <v>0</v>
      </c>
      <c r="G94" s="41">
        <v>0</v>
      </c>
      <c r="H94" s="41">
        <v>0</v>
      </c>
      <c r="I94" s="41">
        <v>0</v>
      </c>
      <c r="J94" s="41">
        <v>0</v>
      </c>
      <c r="K94" s="30">
        <v>0</v>
      </c>
    </row>
    <row r="95" spans="1:13" ht="13.5" customHeight="1">
      <c r="A95" s="268" t="s">
        <v>107</v>
      </c>
      <c r="B95" s="34"/>
      <c r="C95" s="35">
        <f>SUM(C81:C94)</f>
        <v>1222515</v>
      </c>
      <c r="D95" s="35">
        <f t="shared" ref="D95:I95" si="26">SUM(D81:D94)</f>
        <v>1346978</v>
      </c>
      <c r="E95" s="35">
        <f>SUM(E81:E94)</f>
        <v>1028057.1000000001</v>
      </c>
      <c r="F95" s="35">
        <f t="shared" si="26"/>
        <v>885731</v>
      </c>
      <c r="G95" s="35">
        <f t="shared" si="26"/>
        <v>1767809</v>
      </c>
      <c r="H95" s="35">
        <f t="shared" si="26"/>
        <v>2258744</v>
      </c>
      <c r="I95" s="35">
        <f t="shared" si="26"/>
        <v>1034490</v>
      </c>
      <c r="J95" s="35">
        <f t="shared" ref="J95" si="27">SUM(J81:J94)</f>
        <v>1239540</v>
      </c>
      <c r="K95" s="35">
        <f>SUM(K81:K94)</f>
        <v>421384</v>
      </c>
      <c r="M95" s="69">
        <f>SUM(C95:H95)</f>
        <v>8509834.0999999996</v>
      </c>
    </row>
    <row r="96" spans="1:13" ht="13.5" customHeight="1">
      <c r="A96" s="268" t="s">
        <v>215</v>
      </c>
      <c r="B96" s="34"/>
      <c r="C96" s="35">
        <v>32279</v>
      </c>
      <c r="D96" s="35">
        <v>68182</v>
      </c>
      <c r="E96" s="35">
        <v>64404.53</v>
      </c>
      <c r="F96" s="35">
        <v>48227</v>
      </c>
      <c r="G96" s="35">
        <v>51422</v>
      </c>
      <c r="H96" s="35">
        <v>38526</v>
      </c>
      <c r="I96" s="35">
        <v>0</v>
      </c>
      <c r="J96" s="35">
        <v>0</v>
      </c>
      <c r="K96" s="35">
        <v>0</v>
      </c>
      <c r="M96" s="69">
        <f>SUM(C96:H96)</f>
        <v>303040.53000000003</v>
      </c>
    </row>
    <row r="97" spans="1:13" s="33" customFormat="1" ht="13.5" customHeight="1">
      <c r="A97" s="263" t="s">
        <v>212</v>
      </c>
      <c r="B97" s="224"/>
      <c r="C97" s="225">
        <f>+C95+C96</f>
        <v>1254794</v>
      </c>
      <c r="D97" s="225">
        <f t="shared" ref="D97:I97" si="28">+D95+D96</f>
        <v>1415160</v>
      </c>
      <c r="E97" s="225">
        <f t="shared" si="28"/>
        <v>1092461.6300000001</v>
      </c>
      <c r="F97" s="225">
        <f t="shared" si="28"/>
        <v>933958</v>
      </c>
      <c r="G97" s="225">
        <f t="shared" si="28"/>
        <v>1819231</v>
      </c>
      <c r="H97" s="225">
        <f t="shared" si="28"/>
        <v>2297270</v>
      </c>
      <c r="I97" s="225">
        <f t="shared" si="28"/>
        <v>1034490</v>
      </c>
      <c r="J97" s="225">
        <f t="shared" ref="J97" si="29">+J95+J96</f>
        <v>1239540</v>
      </c>
      <c r="K97" s="225">
        <f>+K95+K96</f>
        <v>421384</v>
      </c>
      <c r="M97" s="69">
        <f>SUM(C97:H97)</f>
        <v>8812874.629999999</v>
      </c>
    </row>
    <row r="98" spans="1:13" ht="13.5" customHeight="1">
      <c r="A98" s="255" t="s">
        <v>213</v>
      </c>
      <c r="B98" s="40"/>
      <c r="C98" s="65"/>
      <c r="D98" s="65"/>
      <c r="E98" s="65"/>
      <c r="F98" s="65"/>
      <c r="G98" s="65"/>
      <c r="H98" s="65"/>
      <c r="I98" s="64"/>
      <c r="J98" s="64"/>
      <c r="K98" s="66"/>
    </row>
    <row r="99" spans="1:13" ht="13.5" customHeight="1">
      <c r="A99" s="260"/>
      <c r="B99" s="40" t="s">
        <v>108</v>
      </c>
      <c r="C99" s="41">
        <v>-35</v>
      </c>
      <c r="D99" s="41">
        <v>0</v>
      </c>
      <c r="E99" s="41">
        <v>0</v>
      </c>
      <c r="F99" s="41">
        <v>0</v>
      </c>
      <c r="G99" s="41">
        <v>-1065</v>
      </c>
      <c r="H99" s="41">
        <v>3581</v>
      </c>
      <c r="I99" s="41">
        <v>11505</v>
      </c>
      <c r="J99" s="41">
        <v>0</v>
      </c>
      <c r="K99" s="30">
        <v>0</v>
      </c>
      <c r="M99" s="67">
        <f t="shared" ref="M99:M109" si="30">SUM(C99:H99)</f>
        <v>2481</v>
      </c>
    </row>
    <row r="100" spans="1:13" ht="13.5" customHeight="1">
      <c r="A100" s="260"/>
      <c r="B100" s="40" t="s">
        <v>109</v>
      </c>
      <c r="C100" s="41">
        <v>16045</v>
      </c>
      <c r="D100" s="41">
        <v>29374</v>
      </c>
      <c r="E100" s="41">
        <v>13391.55</v>
      </c>
      <c r="F100" s="41">
        <v>15117</v>
      </c>
      <c r="G100" s="41">
        <v>13672</v>
      </c>
      <c r="H100" s="41">
        <v>12400</v>
      </c>
      <c r="I100" s="41">
        <v>6440</v>
      </c>
      <c r="J100" s="41">
        <v>52000</v>
      </c>
      <c r="K100" s="30">
        <v>2938</v>
      </c>
      <c r="M100" s="67">
        <f t="shared" si="30"/>
        <v>99999.55</v>
      </c>
    </row>
    <row r="101" spans="1:13" ht="13.5" customHeight="1">
      <c r="A101" s="260"/>
      <c r="B101" s="40" t="s">
        <v>110</v>
      </c>
      <c r="C101" s="41">
        <v>2228</v>
      </c>
      <c r="D101" s="41">
        <v>5744</v>
      </c>
      <c r="E101" s="41">
        <v>4165.66</v>
      </c>
      <c r="F101" s="41">
        <v>11755</v>
      </c>
      <c r="G101" s="41">
        <v>1523</v>
      </c>
      <c r="H101" s="41">
        <v>4485</v>
      </c>
      <c r="I101" s="41">
        <v>410</v>
      </c>
      <c r="J101" s="41">
        <v>10566</v>
      </c>
      <c r="K101" s="30">
        <v>10449</v>
      </c>
      <c r="M101" s="67">
        <f t="shared" si="30"/>
        <v>29900.66</v>
      </c>
    </row>
    <row r="102" spans="1:13" ht="13.5" customHeight="1">
      <c r="A102" s="260"/>
      <c r="B102" s="40" t="s">
        <v>111</v>
      </c>
      <c r="C102" s="41">
        <v>18337</v>
      </c>
      <c r="D102" s="41">
        <v>13904</v>
      </c>
      <c r="E102" s="41">
        <v>17085.54</v>
      </c>
      <c r="F102" s="41">
        <v>2650</v>
      </c>
      <c r="G102" s="41">
        <v>172940</v>
      </c>
      <c r="H102" s="41">
        <v>0</v>
      </c>
      <c r="I102" s="41">
        <v>9373</v>
      </c>
      <c r="J102" s="41">
        <v>0</v>
      </c>
      <c r="K102" s="30">
        <v>84463</v>
      </c>
      <c r="M102" s="67">
        <f t="shared" si="30"/>
        <v>224916.54</v>
      </c>
    </row>
    <row r="103" spans="1:13" ht="13.5" customHeight="1">
      <c r="A103" s="260"/>
      <c r="B103" s="40" t="s">
        <v>112</v>
      </c>
      <c r="C103" s="41">
        <v>0</v>
      </c>
      <c r="D103" s="41">
        <v>0</v>
      </c>
      <c r="E103" s="41">
        <v>1532.3</v>
      </c>
      <c r="F103" s="41">
        <v>0</v>
      </c>
      <c r="G103" s="41">
        <v>10975</v>
      </c>
      <c r="H103" s="41">
        <v>0</v>
      </c>
      <c r="I103" s="41">
        <v>2400</v>
      </c>
      <c r="J103" s="41">
        <v>0</v>
      </c>
      <c r="K103" s="30">
        <v>69354</v>
      </c>
      <c r="M103" s="67">
        <f t="shared" si="30"/>
        <v>12507.3</v>
      </c>
    </row>
    <row r="104" spans="1:13" ht="13.5" customHeight="1">
      <c r="A104" s="260"/>
      <c r="B104" s="40" t="s">
        <v>113</v>
      </c>
      <c r="C104" s="41">
        <v>7785</v>
      </c>
      <c r="D104" s="41">
        <v>400</v>
      </c>
      <c r="E104" s="41">
        <v>7020</v>
      </c>
      <c r="F104" s="41">
        <v>8153</v>
      </c>
      <c r="G104" s="41">
        <v>89056</v>
      </c>
      <c r="H104" s="41">
        <v>5217</v>
      </c>
      <c r="I104" s="41">
        <v>13464</v>
      </c>
      <c r="J104" s="41">
        <v>0</v>
      </c>
      <c r="K104" s="30">
        <v>8800</v>
      </c>
      <c r="M104" s="67">
        <f t="shared" si="30"/>
        <v>117631</v>
      </c>
    </row>
    <row r="105" spans="1:13" ht="13.5" customHeight="1">
      <c r="A105" s="260"/>
      <c r="B105" s="40" t="s">
        <v>114</v>
      </c>
      <c r="C105" s="41">
        <v>0</v>
      </c>
      <c r="D105" s="41">
        <v>47002</v>
      </c>
      <c r="E105" s="41">
        <v>12222.5</v>
      </c>
      <c r="F105" s="41">
        <v>22966</v>
      </c>
      <c r="G105" s="41">
        <v>285</v>
      </c>
      <c r="H105" s="41">
        <v>22476</v>
      </c>
      <c r="I105" s="41">
        <v>0</v>
      </c>
      <c r="J105" s="41">
        <v>0</v>
      </c>
      <c r="K105" s="30">
        <v>0</v>
      </c>
      <c r="M105" s="67">
        <f t="shared" si="30"/>
        <v>104951.5</v>
      </c>
    </row>
    <row r="106" spans="1:13" ht="13.5" customHeight="1">
      <c r="A106" s="260"/>
      <c r="B106" s="40" t="s">
        <v>115</v>
      </c>
      <c r="C106" s="41">
        <v>0</v>
      </c>
      <c r="D106" s="41">
        <v>9043</v>
      </c>
      <c r="E106" s="41">
        <v>25596</v>
      </c>
      <c r="F106" s="41">
        <v>0</v>
      </c>
      <c r="G106" s="41">
        <v>0</v>
      </c>
      <c r="H106" s="41">
        <v>0</v>
      </c>
      <c r="I106" s="41">
        <v>0</v>
      </c>
      <c r="J106" s="41">
        <v>0</v>
      </c>
      <c r="K106" s="30">
        <v>0</v>
      </c>
      <c r="M106" s="67">
        <f t="shared" si="30"/>
        <v>34639</v>
      </c>
    </row>
    <row r="107" spans="1:13" ht="13.5" customHeight="1">
      <c r="A107" s="260"/>
      <c r="B107" s="40" t="s">
        <v>218</v>
      </c>
      <c r="C107" s="41">
        <v>215288</v>
      </c>
      <c r="D107" s="41">
        <v>457690</v>
      </c>
      <c r="E107" s="41">
        <v>364773</v>
      </c>
      <c r="F107" s="41">
        <v>191258</v>
      </c>
      <c r="G107" s="41">
        <v>240673</v>
      </c>
      <c r="H107" s="41">
        <v>329621</v>
      </c>
      <c r="I107" s="41">
        <v>0</v>
      </c>
      <c r="J107" s="41">
        <v>0</v>
      </c>
      <c r="K107" s="30">
        <v>0</v>
      </c>
      <c r="M107" s="67">
        <f t="shared" si="30"/>
        <v>1799303</v>
      </c>
    </row>
    <row r="108" spans="1:13" ht="13.5" customHeight="1">
      <c r="A108" s="268" t="s">
        <v>217</v>
      </c>
      <c r="B108" s="34"/>
      <c r="C108" s="35">
        <f>SUM(C99:C107)</f>
        <v>259648</v>
      </c>
      <c r="D108" s="35">
        <f t="shared" ref="D108:I108" si="31">SUM(D99:D107)</f>
        <v>563157</v>
      </c>
      <c r="E108" s="35">
        <f t="shared" si="31"/>
        <v>445786.55</v>
      </c>
      <c r="F108" s="35">
        <f t="shared" si="31"/>
        <v>251899</v>
      </c>
      <c r="G108" s="35">
        <f t="shared" si="31"/>
        <v>528059</v>
      </c>
      <c r="H108" s="35">
        <f t="shared" si="31"/>
        <v>377780</v>
      </c>
      <c r="I108" s="35">
        <f t="shared" si="31"/>
        <v>43592</v>
      </c>
      <c r="J108" s="35">
        <f t="shared" ref="J108" si="32">SUM(J99:J107)</f>
        <v>62566</v>
      </c>
      <c r="K108" s="35">
        <f>SUM(K99:K107)</f>
        <v>176004</v>
      </c>
      <c r="M108" s="67">
        <f t="shared" si="30"/>
        <v>2426329.5499999998</v>
      </c>
    </row>
    <row r="109" spans="1:13" ht="13.5" customHeight="1">
      <c r="A109" s="268" t="s">
        <v>216</v>
      </c>
      <c r="B109" s="34"/>
      <c r="C109" s="35">
        <v>10439</v>
      </c>
      <c r="D109" s="35">
        <v>10996</v>
      </c>
      <c r="E109" s="35">
        <v>-2808</v>
      </c>
      <c r="F109" s="35">
        <v>-781</v>
      </c>
      <c r="G109" s="35">
        <v>-2514</v>
      </c>
      <c r="H109" s="35">
        <v>25564</v>
      </c>
      <c r="I109" s="35">
        <v>0</v>
      </c>
      <c r="J109" s="35">
        <v>0</v>
      </c>
      <c r="K109" s="35">
        <v>0</v>
      </c>
      <c r="M109" s="67">
        <f t="shared" si="30"/>
        <v>40896</v>
      </c>
    </row>
    <row r="110" spans="1:13" s="33" customFormat="1" ht="13.5" customHeight="1">
      <c r="A110" s="263" t="s">
        <v>214</v>
      </c>
      <c r="B110" s="224"/>
      <c r="C110" s="225">
        <f>+C108+C109</f>
        <v>270087</v>
      </c>
      <c r="D110" s="225">
        <f t="shared" ref="D110:K110" si="33">+D108+D109</f>
        <v>574153</v>
      </c>
      <c r="E110" s="225">
        <f t="shared" si="33"/>
        <v>442978.55</v>
      </c>
      <c r="F110" s="225">
        <f t="shared" si="33"/>
        <v>251118</v>
      </c>
      <c r="G110" s="225">
        <f t="shared" si="33"/>
        <v>525545</v>
      </c>
      <c r="H110" s="225">
        <f t="shared" si="33"/>
        <v>403344</v>
      </c>
      <c r="I110" s="225">
        <f t="shared" si="33"/>
        <v>43592</v>
      </c>
      <c r="J110" s="225">
        <f t="shared" ref="J110" si="34">+J108+J109</f>
        <v>62566</v>
      </c>
      <c r="K110" s="225">
        <f t="shared" si="33"/>
        <v>176004</v>
      </c>
      <c r="M110" s="69">
        <f t="shared" ref="M110:M119" si="35">SUM(C110:H110)</f>
        <v>2467225.5499999998</v>
      </c>
    </row>
    <row r="111" spans="1:13" ht="13.5" customHeight="1">
      <c r="A111" s="255" t="s">
        <v>116</v>
      </c>
      <c r="B111" s="40"/>
      <c r="C111" s="65"/>
      <c r="D111" s="65"/>
      <c r="E111" s="65"/>
      <c r="F111" s="65"/>
      <c r="G111" s="65"/>
      <c r="H111" s="65"/>
      <c r="I111" s="65"/>
      <c r="J111" s="65"/>
      <c r="K111" s="66"/>
      <c r="M111" s="67">
        <f t="shared" si="35"/>
        <v>0</v>
      </c>
    </row>
    <row r="112" spans="1:13" ht="13.5" customHeight="1">
      <c r="A112" s="260"/>
      <c r="B112" s="40" t="s">
        <v>117</v>
      </c>
      <c r="C112" s="41">
        <v>28868</v>
      </c>
      <c r="D112" s="41">
        <v>0</v>
      </c>
      <c r="E112" s="41">
        <v>18694</v>
      </c>
      <c r="F112" s="41">
        <v>74090</v>
      </c>
      <c r="G112" s="41">
        <v>104394</v>
      </c>
      <c r="H112" s="41">
        <v>122208</v>
      </c>
      <c r="I112" s="41">
        <v>62686</v>
      </c>
      <c r="J112" s="41"/>
      <c r="K112" s="30">
        <v>0</v>
      </c>
      <c r="M112" s="69">
        <f t="shared" si="35"/>
        <v>348254</v>
      </c>
    </row>
    <row r="113" spans="1:13" ht="13.5" customHeight="1">
      <c r="A113" s="260"/>
      <c r="B113" s="40" t="s">
        <v>42</v>
      </c>
      <c r="C113" s="41">
        <f>C60</f>
        <v>118753</v>
      </c>
      <c r="D113" s="41">
        <f t="shared" ref="D113:K113" si="36">D60</f>
        <v>246325</v>
      </c>
      <c r="E113" s="41">
        <f t="shared" si="36"/>
        <v>57573</v>
      </c>
      <c r="F113" s="41">
        <f t="shared" si="36"/>
        <v>107740</v>
      </c>
      <c r="G113" s="41">
        <f t="shared" si="36"/>
        <v>66918</v>
      </c>
      <c r="H113" s="41">
        <f t="shared" si="36"/>
        <v>484161</v>
      </c>
      <c r="I113" s="41">
        <f t="shared" si="36"/>
        <v>106785</v>
      </c>
      <c r="J113" s="41">
        <f t="shared" ref="J113" si="37">J60</f>
        <v>78283</v>
      </c>
      <c r="K113" s="41">
        <f t="shared" si="36"/>
        <v>-128996</v>
      </c>
      <c r="M113" s="69">
        <f t="shared" si="35"/>
        <v>1081470</v>
      </c>
    </row>
    <row r="114" spans="1:13" ht="13.5" customHeight="1">
      <c r="A114" s="260"/>
      <c r="B114" s="40" t="s">
        <v>220</v>
      </c>
      <c r="C114" s="41">
        <f>C61</f>
        <v>-193448</v>
      </c>
      <c r="D114" s="41">
        <f t="shared" ref="D114:K114" si="38">D61</f>
        <v>-400504</v>
      </c>
      <c r="E114" s="41">
        <f t="shared" si="38"/>
        <v>-297560</v>
      </c>
      <c r="F114" s="41">
        <f t="shared" si="38"/>
        <v>-142250</v>
      </c>
      <c r="G114" s="41">
        <f t="shared" si="38"/>
        <v>-186737</v>
      </c>
      <c r="H114" s="41">
        <f t="shared" si="38"/>
        <v>-316659</v>
      </c>
      <c r="I114" s="41">
        <f t="shared" si="38"/>
        <v>0</v>
      </c>
      <c r="J114" s="41">
        <f t="shared" ref="J114" si="39">J61</f>
        <v>0</v>
      </c>
      <c r="K114" s="41">
        <f t="shared" si="38"/>
        <v>0</v>
      </c>
      <c r="M114" s="69">
        <f t="shared" si="35"/>
        <v>-1537158</v>
      </c>
    </row>
    <row r="115" spans="1:13" ht="13.5" customHeight="1">
      <c r="A115" s="260"/>
      <c r="B115" s="40" t="s">
        <v>43</v>
      </c>
      <c r="C115" s="41">
        <f>C62</f>
        <v>0</v>
      </c>
      <c r="D115" s="41">
        <f t="shared" ref="D115:K115" si="40">D62</f>
        <v>0</v>
      </c>
      <c r="E115" s="41">
        <f t="shared" si="40"/>
        <v>0</v>
      </c>
      <c r="F115" s="41">
        <f t="shared" si="40"/>
        <v>0</v>
      </c>
      <c r="G115" s="41">
        <f t="shared" si="40"/>
        <v>0</v>
      </c>
      <c r="H115" s="41">
        <f t="shared" si="40"/>
        <v>0</v>
      </c>
      <c r="I115" s="41">
        <f t="shared" si="40"/>
        <v>10547</v>
      </c>
      <c r="J115" s="41">
        <f t="shared" ref="J115" si="41">J62</f>
        <v>0</v>
      </c>
      <c r="K115" s="41">
        <f t="shared" si="40"/>
        <v>0</v>
      </c>
      <c r="M115" s="67">
        <f t="shared" si="35"/>
        <v>0</v>
      </c>
    </row>
    <row r="116" spans="1:13" ht="13.5" customHeight="1">
      <c r="A116" s="260"/>
      <c r="B116" s="40" t="s">
        <v>118</v>
      </c>
      <c r="C116" s="41">
        <f>C63</f>
        <v>1030534</v>
      </c>
      <c r="D116" s="41">
        <f t="shared" ref="D116:K116" si="42">D63</f>
        <v>995184</v>
      </c>
      <c r="E116" s="41">
        <f t="shared" si="42"/>
        <v>870776</v>
      </c>
      <c r="F116" s="41">
        <f t="shared" si="42"/>
        <v>643259</v>
      </c>
      <c r="G116" s="41">
        <f t="shared" si="42"/>
        <v>1309111</v>
      </c>
      <c r="H116" s="41">
        <f t="shared" si="42"/>
        <v>1604217</v>
      </c>
      <c r="I116" s="41">
        <f t="shared" si="42"/>
        <v>810880</v>
      </c>
      <c r="J116" s="41">
        <f t="shared" ref="J116" si="43">J63</f>
        <v>1098691</v>
      </c>
      <c r="K116" s="41">
        <f t="shared" si="42"/>
        <v>374376</v>
      </c>
      <c r="M116" s="67">
        <f t="shared" si="35"/>
        <v>6453081</v>
      </c>
    </row>
    <row r="117" spans="1:13" ht="13.5" customHeight="1">
      <c r="A117" s="269"/>
      <c r="B117" s="71" t="s">
        <v>106</v>
      </c>
      <c r="C117" s="73"/>
      <c r="D117" s="73"/>
      <c r="E117" s="73"/>
      <c r="F117" s="73"/>
      <c r="G117" s="73"/>
      <c r="H117" s="73"/>
      <c r="I117" s="73"/>
      <c r="J117" s="73"/>
      <c r="K117" s="72"/>
      <c r="M117" s="67">
        <f t="shared" si="35"/>
        <v>0</v>
      </c>
    </row>
    <row r="118" spans="1:13" ht="13.5" customHeight="1">
      <c r="A118" s="268" t="s">
        <v>46</v>
      </c>
      <c r="B118" s="75"/>
      <c r="C118" s="76">
        <f>SUM(C112:C117)</f>
        <v>984707</v>
      </c>
      <c r="D118" s="76">
        <f t="shared" ref="D118:K118" si="44">SUM(D112:D117)</f>
        <v>841005</v>
      </c>
      <c r="E118" s="76">
        <f t="shared" si="44"/>
        <v>649483</v>
      </c>
      <c r="F118" s="76">
        <f>SUM(F112:F117)</f>
        <v>682839</v>
      </c>
      <c r="G118" s="76">
        <f t="shared" si="44"/>
        <v>1293686</v>
      </c>
      <c r="H118" s="76">
        <f t="shared" si="44"/>
        <v>1893927</v>
      </c>
      <c r="I118" s="76">
        <f t="shared" si="44"/>
        <v>990898</v>
      </c>
      <c r="J118" s="76">
        <f t="shared" ref="J118" si="45">SUM(J112:J117)</f>
        <v>1176974</v>
      </c>
      <c r="K118" s="76">
        <f t="shared" si="44"/>
        <v>245380</v>
      </c>
      <c r="M118" s="67">
        <f t="shared" si="35"/>
        <v>6345647</v>
      </c>
    </row>
    <row r="119" spans="1:13" s="33" customFormat="1" ht="14.25" customHeight="1">
      <c r="A119" s="263" t="s">
        <v>219</v>
      </c>
      <c r="B119" s="224"/>
      <c r="C119" s="225">
        <f>SUM(C110:C117)</f>
        <v>1254794</v>
      </c>
      <c r="D119" s="225">
        <f t="shared" ref="D119:K119" si="46">SUM(D110:D117)</f>
        <v>1415158</v>
      </c>
      <c r="E119" s="225">
        <f t="shared" si="46"/>
        <v>1092461.55</v>
      </c>
      <c r="F119" s="225">
        <f t="shared" si="46"/>
        <v>933957</v>
      </c>
      <c r="G119" s="225">
        <f t="shared" si="46"/>
        <v>1819231</v>
      </c>
      <c r="H119" s="225">
        <f t="shared" si="46"/>
        <v>2297271</v>
      </c>
      <c r="I119" s="225">
        <f t="shared" si="46"/>
        <v>1034490</v>
      </c>
      <c r="J119" s="225">
        <f t="shared" ref="J119" si="47">SUM(J110:J117)</f>
        <v>1239540</v>
      </c>
      <c r="K119" s="225">
        <f t="shared" si="46"/>
        <v>421384</v>
      </c>
      <c r="M119" s="69">
        <f t="shared" si="35"/>
        <v>8812872.5500000007</v>
      </c>
    </row>
    <row r="120" spans="1:13" ht="12.75" hidden="1" customHeight="1">
      <c r="A120" s="79"/>
      <c r="B120" s="70" t="s">
        <v>88</v>
      </c>
      <c r="C120" s="94">
        <f>+C97-C119</f>
        <v>0</v>
      </c>
      <c r="D120" s="94">
        <f t="shared" ref="D120:K120" si="48">+D97-D119</f>
        <v>2</v>
      </c>
      <c r="E120" s="94">
        <f t="shared" si="48"/>
        <v>8.0000000074505806E-2</v>
      </c>
      <c r="F120" s="94">
        <f t="shared" si="48"/>
        <v>1</v>
      </c>
      <c r="G120" s="94">
        <f t="shared" si="48"/>
        <v>0</v>
      </c>
      <c r="H120" s="94">
        <f t="shared" si="48"/>
        <v>-1</v>
      </c>
      <c r="I120" s="94">
        <f>+I97-I119</f>
        <v>0</v>
      </c>
      <c r="J120" s="94">
        <f>+J97-J119</f>
        <v>0</v>
      </c>
      <c r="K120" s="94">
        <f t="shared" si="48"/>
        <v>0</v>
      </c>
    </row>
    <row r="121" spans="1:13" ht="13.5" customHeight="1">
      <c r="A121" s="70"/>
      <c r="B121" s="101"/>
      <c r="C121" s="102"/>
      <c r="D121" s="102"/>
      <c r="E121" s="102"/>
      <c r="F121" s="102"/>
      <c r="G121" s="102"/>
      <c r="H121" s="103"/>
      <c r="I121" s="102"/>
      <c r="J121" s="102"/>
      <c r="K121" s="102"/>
    </row>
    <row r="122" spans="1:13" ht="38.25" customHeight="1">
      <c r="A122" s="360" t="s">
        <v>119</v>
      </c>
      <c r="B122" s="361"/>
      <c r="C122" s="372">
        <f t="shared" ref="C122:K122" si="49">C55/(C31)</f>
        <v>-1.2472708691410787E-3</v>
      </c>
      <c r="D122" s="354">
        <f t="shared" si="49"/>
        <v>-5.3930129336358566E-2</v>
      </c>
      <c r="E122" s="354">
        <f t="shared" si="49"/>
        <v>-0.31814628092982583</v>
      </c>
      <c r="F122" s="354">
        <f t="shared" si="49"/>
        <v>1.156268513110959E-2</v>
      </c>
      <c r="G122" s="354">
        <f t="shared" si="49"/>
        <v>-0.25617568655132122</v>
      </c>
      <c r="H122" s="354">
        <f t="shared" si="49"/>
        <v>3.7314154063903877E-2</v>
      </c>
      <c r="I122" s="354">
        <f t="shared" si="49"/>
        <v>-8.1859163823573264E-2</v>
      </c>
      <c r="J122" s="354">
        <f t="shared" ref="J122" si="50">J55/(J31)</f>
        <v>-0.34950370035851541</v>
      </c>
      <c r="K122" s="354">
        <f t="shared" si="49"/>
        <v>-0.49532557370933805</v>
      </c>
    </row>
    <row r="123" spans="1:13" ht="24">
      <c r="A123" s="257"/>
      <c r="B123" s="299" t="s">
        <v>120</v>
      </c>
      <c r="C123" s="373"/>
      <c r="D123" s="354"/>
      <c r="E123" s="354"/>
      <c r="F123" s="354"/>
      <c r="G123" s="354"/>
      <c r="H123" s="354"/>
      <c r="I123" s="354"/>
      <c r="J123" s="354"/>
      <c r="K123" s="354"/>
    </row>
    <row r="124" spans="1:13" ht="14.25">
      <c r="A124" s="300" t="s">
        <v>194</v>
      </c>
      <c r="B124" s="301"/>
      <c r="C124" s="351">
        <f t="shared" ref="C124:K124" si="51">(SUM(C83:C84))/SUM(C99:C104)</f>
        <v>4.3102795311091073</v>
      </c>
      <c r="D124" s="351">
        <f t="shared" si="51"/>
        <v>6.9348468293472543</v>
      </c>
      <c r="E124" s="351">
        <f t="shared" si="51"/>
        <v>2.8239221855282026</v>
      </c>
      <c r="F124" s="351">
        <f t="shared" si="51"/>
        <v>6.4359124087591244</v>
      </c>
      <c r="G124" s="351">
        <f t="shared" si="51"/>
        <v>1.5850484672641336</v>
      </c>
      <c r="H124" s="351">
        <f t="shared" si="51"/>
        <v>25.484873262469339</v>
      </c>
      <c r="I124" s="351">
        <f t="shared" si="51"/>
        <v>5.0933198752064595</v>
      </c>
      <c r="J124" s="351">
        <f t="shared" ref="J124" si="52">(SUM(J83:J84))/SUM(J99:J104)</f>
        <v>2.2512067256976631</v>
      </c>
      <c r="K124" s="351">
        <f t="shared" si="51"/>
        <v>0.24680689075248291</v>
      </c>
    </row>
    <row r="125" spans="1:13" ht="36">
      <c r="A125" s="302"/>
      <c r="B125" s="303" t="s">
        <v>195</v>
      </c>
      <c r="C125" s="352"/>
      <c r="D125" s="352"/>
      <c r="E125" s="352"/>
      <c r="F125" s="352"/>
      <c r="G125" s="352"/>
      <c r="H125" s="352"/>
      <c r="I125" s="352"/>
      <c r="J125" s="352"/>
      <c r="K125" s="352"/>
    </row>
    <row r="126" spans="1:13" ht="14.25">
      <c r="A126" s="300" t="s">
        <v>196</v>
      </c>
      <c r="B126" s="301"/>
      <c r="C126" s="351">
        <f t="shared" ref="C126:K126" si="53">(SUM(C83:C84))/SUM(C99:C105)</f>
        <v>4.3102795311091073</v>
      </c>
      <c r="D126" s="351">
        <f t="shared" si="53"/>
        <v>3.5544470256367711</v>
      </c>
      <c r="E126" s="351">
        <f t="shared" si="53"/>
        <v>2.2010980276103869</v>
      </c>
      <c r="F126" s="351">
        <f t="shared" si="53"/>
        <v>3.9984993651160106</v>
      </c>
      <c r="G126" s="351">
        <f t="shared" si="53"/>
        <v>1.5834765785389684</v>
      </c>
      <c r="H126" s="351">
        <f t="shared" si="53"/>
        <v>13.590979879150314</v>
      </c>
      <c r="I126" s="351">
        <f t="shared" si="53"/>
        <v>5.0933198752064595</v>
      </c>
      <c r="J126" s="351">
        <f t="shared" ref="J126" si="54">(SUM(J83:J84))/SUM(J99:J105)</f>
        <v>2.2512067256976631</v>
      </c>
      <c r="K126" s="351">
        <f t="shared" si="53"/>
        <v>0.24680689075248291</v>
      </c>
    </row>
    <row r="127" spans="1:13" ht="24">
      <c r="A127" s="302"/>
      <c r="B127" s="303" t="s">
        <v>197</v>
      </c>
      <c r="C127" s="352"/>
      <c r="D127" s="352"/>
      <c r="E127" s="352"/>
      <c r="F127" s="352"/>
      <c r="G127" s="352"/>
      <c r="H127" s="352"/>
      <c r="I127" s="352"/>
      <c r="J127" s="352"/>
      <c r="K127" s="352"/>
    </row>
    <row r="128" spans="1:13" s="173" customFormat="1" ht="8.1" customHeight="1">
      <c r="A128" s="174"/>
      <c r="B128" s="175"/>
      <c r="C128" s="176"/>
      <c r="D128" s="176"/>
      <c r="E128" s="176"/>
      <c r="F128" s="176"/>
      <c r="G128" s="176"/>
      <c r="H128" s="176"/>
      <c r="I128" s="176"/>
      <c r="J128" s="176"/>
      <c r="K128" s="177"/>
    </row>
    <row r="129" spans="1:12" ht="13.5" customHeight="1">
      <c r="A129" s="304" t="s">
        <v>121</v>
      </c>
      <c r="B129" s="75"/>
      <c r="C129" s="353">
        <f t="shared" ref="C129:K129" si="55">C110/C97</f>
        <v>0.21524409584362056</v>
      </c>
      <c r="D129" s="353">
        <f t="shared" si="55"/>
        <v>0.4057159614460556</v>
      </c>
      <c r="E129" s="353">
        <f t="shared" si="55"/>
        <v>0.40548659818835003</v>
      </c>
      <c r="F129" s="353">
        <f t="shared" si="55"/>
        <v>0.26887504577293625</v>
      </c>
      <c r="G129" s="353">
        <f t="shared" si="55"/>
        <v>0.28888305003597675</v>
      </c>
      <c r="H129" s="353">
        <f t="shared" si="55"/>
        <v>0.17557535683659301</v>
      </c>
      <c r="I129" s="353">
        <f t="shared" si="55"/>
        <v>4.2138638362864793E-2</v>
      </c>
      <c r="J129" s="353">
        <f t="shared" ref="J129" si="56">J110/J97</f>
        <v>5.0475176275069783E-2</v>
      </c>
      <c r="K129" s="353">
        <f t="shared" si="55"/>
        <v>0.41768078522203028</v>
      </c>
    </row>
    <row r="130" spans="1:12" ht="25.5">
      <c r="A130" s="257"/>
      <c r="B130" s="305" t="s">
        <v>122</v>
      </c>
      <c r="C130" s="353"/>
      <c r="D130" s="353"/>
      <c r="E130" s="353"/>
      <c r="F130" s="353"/>
      <c r="G130" s="353"/>
      <c r="H130" s="353"/>
      <c r="I130" s="353"/>
      <c r="J130" s="353"/>
      <c r="K130" s="353"/>
    </row>
    <row r="131" spans="1:12" ht="13.5" customHeight="1">
      <c r="A131" s="304" t="s">
        <v>123</v>
      </c>
      <c r="B131" s="306"/>
      <c r="C131" s="353">
        <f t="shared" ref="C131:K131" si="57">C118/C97</f>
        <v>0.78475590415637941</v>
      </c>
      <c r="D131" s="353">
        <f t="shared" si="57"/>
        <v>0.59428262528618669</v>
      </c>
      <c r="E131" s="353">
        <f t="shared" si="57"/>
        <v>0.59451332858253336</v>
      </c>
      <c r="F131" s="353">
        <f t="shared" si="57"/>
        <v>0.73112388351510449</v>
      </c>
      <c r="G131" s="353">
        <f t="shared" si="57"/>
        <v>0.7111169499640233</v>
      </c>
      <c r="H131" s="353">
        <f t="shared" si="57"/>
        <v>0.82442507846269708</v>
      </c>
      <c r="I131" s="353">
        <f t="shared" si="57"/>
        <v>0.9578613616371352</v>
      </c>
      <c r="J131" s="353">
        <f t="shared" ref="J131" si="58">J118/J97</f>
        <v>0.94952482372493019</v>
      </c>
      <c r="K131" s="353">
        <f t="shared" si="57"/>
        <v>0.58231921477796977</v>
      </c>
    </row>
    <row r="132" spans="1:12" ht="24">
      <c r="A132" s="257"/>
      <c r="B132" s="299" t="s">
        <v>124</v>
      </c>
      <c r="C132" s="353"/>
      <c r="D132" s="353"/>
      <c r="E132" s="353"/>
      <c r="F132" s="353"/>
      <c r="G132" s="353"/>
      <c r="H132" s="353"/>
      <c r="I132" s="353"/>
      <c r="J132" s="353"/>
      <c r="K132" s="353"/>
    </row>
    <row r="133" spans="1:12" ht="13.5" customHeight="1">
      <c r="A133" s="362" t="s">
        <v>125</v>
      </c>
      <c r="B133" s="363"/>
      <c r="C133" s="353">
        <f t="shared" ref="C133:K133" si="59">C110/C118</f>
        <v>0.27428158833033583</v>
      </c>
      <c r="D133" s="353">
        <f t="shared" si="59"/>
        <v>0.6826986759888467</v>
      </c>
      <c r="E133" s="353">
        <f t="shared" si="59"/>
        <v>0.68204795198642609</v>
      </c>
      <c r="F133" s="353">
        <f t="shared" si="59"/>
        <v>0.36775579602219555</v>
      </c>
      <c r="G133" s="353">
        <f t="shared" si="59"/>
        <v>0.40623845353509275</v>
      </c>
      <c r="H133" s="353">
        <f t="shared" si="59"/>
        <v>0.21296702565621589</v>
      </c>
      <c r="I133" s="353">
        <f t="shared" si="59"/>
        <v>4.399241899771722E-2</v>
      </c>
      <c r="J133" s="353">
        <f t="shared" ref="J133" si="60">J110/J118</f>
        <v>5.3158353540520009E-2</v>
      </c>
      <c r="K133" s="353">
        <f t="shared" si="59"/>
        <v>0.71727117124460016</v>
      </c>
    </row>
    <row r="134" spans="1:12" ht="13.5" customHeight="1">
      <c r="A134" s="257"/>
      <c r="B134" s="299" t="s">
        <v>126</v>
      </c>
      <c r="C134" s="353"/>
      <c r="D134" s="353"/>
      <c r="E134" s="353"/>
      <c r="F134" s="353"/>
      <c r="G134" s="353"/>
      <c r="H134" s="353"/>
      <c r="I134" s="353"/>
      <c r="J134" s="353"/>
      <c r="K134" s="353"/>
    </row>
    <row r="135" spans="1:12" s="173" customFormat="1" ht="8.1" customHeight="1">
      <c r="A135" s="178"/>
      <c r="B135" s="179"/>
      <c r="C135" s="179"/>
      <c r="D135" s="179"/>
      <c r="E135" s="179"/>
      <c r="F135" s="179"/>
      <c r="G135" s="179"/>
      <c r="H135" s="179"/>
      <c r="I135" s="179"/>
      <c r="J135" s="179"/>
      <c r="K135" s="185"/>
    </row>
    <row r="136" spans="1:12">
      <c r="A136" s="268" t="s">
        <v>127</v>
      </c>
      <c r="B136" s="34"/>
      <c r="C136" s="65">
        <v>0</v>
      </c>
      <c r="D136" s="65">
        <v>3</v>
      </c>
      <c r="E136" s="65">
        <v>3</v>
      </c>
      <c r="F136" s="65">
        <v>1</v>
      </c>
      <c r="G136" s="65">
        <v>1</v>
      </c>
      <c r="H136" s="65">
        <v>2</v>
      </c>
      <c r="I136" s="65">
        <v>3</v>
      </c>
      <c r="J136" s="65">
        <v>3</v>
      </c>
      <c r="K136" s="66">
        <v>2</v>
      </c>
      <c r="L136" s="105">
        <f>AVERAGE(C136:K136)</f>
        <v>2</v>
      </c>
    </row>
    <row r="137" spans="1:12" s="173" customFormat="1" ht="8.1" customHeight="1">
      <c r="A137" s="184"/>
      <c r="B137" s="179"/>
      <c r="C137" s="179"/>
      <c r="D137" s="179"/>
      <c r="E137" s="179"/>
      <c r="F137" s="179"/>
      <c r="G137" s="179"/>
      <c r="H137" s="179"/>
      <c r="I137" s="179"/>
      <c r="J137" s="179"/>
      <c r="K137" s="185"/>
    </row>
    <row r="138" spans="1:12">
      <c r="A138" s="307" t="s">
        <v>128</v>
      </c>
      <c r="B138" s="307"/>
      <c r="C138" s="195">
        <v>11285</v>
      </c>
      <c r="D138" s="195">
        <v>13102</v>
      </c>
      <c r="E138" s="195">
        <v>10967</v>
      </c>
      <c r="F138" s="128">
        <v>14613</v>
      </c>
      <c r="G138" s="128">
        <v>10253</v>
      </c>
      <c r="H138" s="195">
        <v>23071</v>
      </c>
      <c r="I138" s="195">
        <v>18420</v>
      </c>
      <c r="J138" s="195">
        <v>9520</v>
      </c>
      <c r="K138" s="81">
        <v>6895</v>
      </c>
      <c r="L138" s="108">
        <f>AVERAGE(C138:K138)</f>
        <v>13125.111111111111</v>
      </c>
    </row>
    <row r="139" spans="1:12">
      <c r="A139" s="307" t="s">
        <v>129</v>
      </c>
      <c r="B139" s="307"/>
      <c r="C139" s="195">
        <v>1908</v>
      </c>
      <c r="D139" s="195">
        <v>6785</v>
      </c>
      <c r="E139" s="195">
        <v>5854</v>
      </c>
      <c r="F139" s="128">
        <v>362</v>
      </c>
      <c r="G139" s="128">
        <v>4325</v>
      </c>
      <c r="H139" s="195">
        <v>4931</v>
      </c>
      <c r="I139" s="65">
        <v>307</v>
      </c>
      <c r="J139" s="65">
        <v>752</v>
      </c>
      <c r="K139" s="81">
        <v>532</v>
      </c>
      <c r="L139" s="108">
        <f>AVERAGE(C139:K139)</f>
        <v>2861.7777777777778</v>
      </c>
    </row>
    <row r="140" spans="1:12">
      <c r="A140" s="307" t="s">
        <v>130</v>
      </c>
      <c r="B140" s="307"/>
      <c r="C140" s="195">
        <v>13193</v>
      </c>
      <c r="D140" s="195">
        <v>19887</v>
      </c>
      <c r="E140" s="195">
        <v>16821</v>
      </c>
      <c r="F140" s="128">
        <v>14975</v>
      </c>
      <c r="G140" s="128">
        <v>14578</v>
      </c>
      <c r="H140" s="195">
        <v>28002</v>
      </c>
      <c r="I140" s="195">
        <v>18727</v>
      </c>
      <c r="J140" s="195">
        <v>10272</v>
      </c>
      <c r="K140" s="81">
        <v>7427</v>
      </c>
      <c r="L140" s="108">
        <f>AVERAGE(C140:K140)</f>
        <v>15986.888888888889</v>
      </c>
    </row>
    <row r="141" spans="1:12">
      <c r="F141" s="107"/>
      <c r="L141" s="60"/>
    </row>
    <row r="142" spans="1:12">
      <c r="L142" s="60"/>
    </row>
    <row r="143" spans="1:12">
      <c r="A143" s="221"/>
      <c r="B143" s="63"/>
    </row>
    <row r="144" spans="1:12">
      <c r="A144" s="221"/>
      <c r="B144" s="63"/>
    </row>
  </sheetData>
  <mergeCells count="67">
    <mergeCell ref="A1:B3"/>
    <mergeCell ref="C2:C3"/>
    <mergeCell ref="D2:D3"/>
    <mergeCell ref="E2:E3"/>
    <mergeCell ref="H2:H3"/>
    <mergeCell ref="I2:I3"/>
    <mergeCell ref="J2:J3"/>
    <mergeCell ref="K2:K3"/>
    <mergeCell ref="F2:F3"/>
    <mergeCell ref="G2:G3"/>
    <mergeCell ref="A77:B78"/>
    <mergeCell ref="A122:B122"/>
    <mergeCell ref="A133:B133"/>
    <mergeCell ref="C122:C123"/>
    <mergeCell ref="D122:D123"/>
    <mergeCell ref="C124:C125"/>
    <mergeCell ref="D124:D125"/>
    <mergeCell ref="C126:C127"/>
    <mergeCell ref="D126:D127"/>
    <mergeCell ref="C129:C130"/>
    <mergeCell ref="D129:D130"/>
    <mergeCell ref="C131:C132"/>
    <mergeCell ref="D131:D132"/>
    <mergeCell ref="C133:C134"/>
    <mergeCell ref="D133:D134"/>
    <mergeCell ref="J122:J123"/>
    <mergeCell ref="K122:K123"/>
    <mergeCell ref="E122:E123"/>
    <mergeCell ref="F122:F123"/>
    <mergeCell ref="G122:G123"/>
    <mergeCell ref="H122:H123"/>
    <mergeCell ref="I122:I123"/>
    <mergeCell ref="J124:J125"/>
    <mergeCell ref="K124:K125"/>
    <mergeCell ref="E124:E125"/>
    <mergeCell ref="F124:F125"/>
    <mergeCell ref="G124:G125"/>
    <mergeCell ref="H124:H125"/>
    <mergeCell ref="I124:I125"/>
    <mergeCell ref="J126:J127"/>
    <mergeCell ref="K126:K127"/>
    <mergeCell ref="E126:E127"/>
    <mergeCell ref="F126:F127"/>
    <mergeCell ref="G126:G127"/>
    <mergeCell ref="H126:H127"/>
    <mergeCell ref="I126:I127"/>
    <mergeCell ref="J129:J130"/>
    <mergeCell ref="K129:K130"/>
    <mergeCell ref="E129:E130"/>
    <mergeCell ref="F129:F130"/>
    <mergeCell ref="G129:G130"/>
    <mergeCell ref="H129:H130"/>
    <mergeCell ref="I129:I130"/>
    <mergeCell ref="J131:J132"/>
    <mergeCell ref="K131:K132"/>
    <mergeCell ref="E131:E132"/>
    <mergeCell ref="F131:F132"/>
    <mergeCell ref="G131:G132"/>
    <mergeCell ref="H131:H132"/>
    <mergeCell ref="I131:I132"/>
    <mergeCell ref="J133:J134"/>
    <mergeCell ref="K133:K134"/>
    <mergeCell ref="E133:E134"/>
    <mergeCell ref="F133:F134"/>
    <mergeCell ref="G133:G134"/>
    <mergeCell ref="H133:H134"/>
    <mergeCell ref="I133:I134"/>
  </mergeCells>
  <conditionalFormatting sqref="C122:I123 K122:K123">
    <cfRule type="cellIs" dxfId="40" priority="6" operator="lessThan">
      <formula>0</formula>
    </cfRule>
  </conditionalFormatting>
  <conditionalFormatting sqref="C65:I65 K65">
    <cfRule type="cellIs" dxfId="39" priority="5" operator="lessThan">
      <formula>0</formula>
    </cfRule>
  </conditionalFormatting>
  <conditionalFormatting sqref="J65">
    <cfRule type="cellIs" dxfId="38" priority="2" operator="lessThan">
      <formula>0</formula>
    </cfRule>
  </conditionalFormatting>
  <conditionalFormatting sqref="J122:J123">
    <cfRule type="cellIs" dxfId="37" priority="1" operator="lessThan">
      <formula>0</formula>
    </cfRule>
  </conditionalFormatting>
  <printOptions horizontalCentered="1"/>
  <pageMargins left="0.5" right="0.5" top="0.75" bottom="0.35" header="0.5" footer="0.15"/>
  <pageSetup scale="66" orientation="portrait" r:id="rId1"/>
  <headerFooter alignWithMargins="0">
    <oddHeader>&amp;C&amp;"Arial,Bold"&amp;14CLASS II FAIRS</oddHeader>
    <oddFooter xml:space="preserve">&amp;CFairs and Expositions&amp;R
</oddFooter>
  </headerFooter>
  <rowBreaks count="1" manualBreakCount="1">
    <brk id="76" max="16383" man="1"/>
  </rowBreaks>
  <colBreaks count="1" manualBreakCount="1">
    <brk id="7" max="143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4"/>
  <sheetViews>
    <sheetView view="pageBreakPreview" zoomScale="85" zoomScaleNormal="90" zoomScaleSheetLayoutView="85" zoomScalePageLayoutView="70" workbookViewId="0">
      <selection activeCell="G5" sqref="G5"/>
    </sheetView>
  </sheetViews>
  <sheetFormatPr defaultRowHeight="12.75"/>
  <cols>
    <col min="1" max="1" width="4.7109375" style="20" customWidth="1"/>
    <col min="2" max="2" width="56.42578125" style="20" customWidth="1"/>
    <col min="3" max="3" width="13" style="60" customWidth="1"/>
    <col min="4" max="6" width="12.7109375" style="20" customWidth="1"/>
    <col min="7" max="7" width="12.7109375" style="97" customWidth="1"/>
    <col min="8" max="13" width="12.7109375" style="20" customWidth="1"/>
    <col min="14" max="14" width="12.7109375" style="60" customWidth="1"/>
    <col min="15" max="16" width="12.7109375" style="20" customWidth="1"/>
    <col min="17" max="17" width="14.140625" style="20" customWidth="1"/>
    <col min="18" max="19" width="11.7109375" style="20" customWidth="1"/>
    <col min="20" max="16384" width="9.140625" style="20"/>
  </cols>
  <sheetData>
    <row r="1" spans="1:18" ht="12" customHeight="1">
      <c r="A1" s="356"/>
      <c r="B1" s="357"/>
      <c r="C1" s="252"/>
      <c r="D1" s="252"/>
      <c r="E1" s="252"/>
      <c r="F1" s="252"/>
      <c r="G1" s="270"/>
      <c r="H1" s="252"/>
      <c r="I1" s="252"/>
      <c r="J1" s="252"/>
      <c r="K1" s="252"/>
      <c r="L1" s="252"/>
      <c r="M1" s="252"/>
      <c r="N1" s="275"/>
      <c r="O1" s="252"/>
      <c r="P1" s="252"/>
    </row>
    <row r="2" spans="1:18" ht="12" customHeight="1">
      <c r="A2" s="374"/>
      <c r="B2" s="375"/>
      <c r="C2" s="367" t="s">
        <v>139</v>
      </c>
      <c r="D2" s="367" t="s">
        <v>140</v>
      </c>
      <c r="E2" s="367" t="s">
        <v>141</v>
      </c>
      <c r="F2" s="367" t="s">
        <v>237</v>
      </c>
      <c r="G2" s="380" t="s">
        <v>142</v>
      </c>
      <c r="H2" s="367" t="s">
        <v>143</v>
      </c>
      <c r="I2" s="367" t="s">
        <v>144</v>
      </c>
      <c r="J2" s="367" t="s">
        <v>145</v>
      </c>
      <c r="K2" s="367" t="s">
        <v>146</v>
      </c>
      <c r="L2" s="367" t="s">
        <v>147</v>
      </c>
      <c r="M2" s="367" t="s">
        <v>148</v>
      </c>
      <c r="N2" s="367" t="s">
        <v>204</v>
      </c>
      <c r="O2" s="367" t="s">
        <v>149</v>
      </c>
      <c r="P2" s="367" t="s">
        <v>150</v>
      </c>
    </row>
    <row r="3" spans="1:18" ht="69" customHeight="1">
      <c r="A3" s="374"/>
      <c r="B3" s="375"/>
      <c r="C3" s="367"/>
      <c r="D3" s="367"/>
      <c r="E3" s="367"/>
      <c r="F3" s="367"/>
      <c r="G3" s="380"/>
      <c r="H3" s="367"/>
      <c r="I3" s="367"/>
      <c r="J3" s="367"/>
      <c r="K3" s="367"/>
      <c r="L3" s="367"/>
      <c r="M3" s="367"/>
      <c r="N3" s="367"/>
      <c r="O3" s="367"/>
      <c r="P3" s="367"/>
      <c r="R3" s="20" t="s">
        <v>41</v>
      </c>
    </row>
    <row r="4" spans="1:18" ht="13.5" customHeight="1">
      <c r="A4" s="312" t="s">
        <v>205</v>
      </c>
      <c r="B4" s="312"/>
      <c r="C4" s="48"/>
      <c r="D4" s="49"/>
      <c r="E4" s="49"/>
      <c r="F4" s="49"/>
      <c r="G4" s="109"/>
      <c r="H4" s="49"/>
      <c r="I4" s="49"/>
      <c r="J4" s="49"/>
      <c r="K4" s="49"/>
      <c r="L4" s="49"/>
      <c r="M4" s="49"/>
      <c r="N4" s="50"/>
      <c r="O4" s="48"/>
      <c r="P4" s="49"/>
    </row>
    <row r="5" spans="1:18" ht="13.5" customHeight="1">
      <c r="A5" s="255"/>
      <c r="B5" s="36" t="s">
        <v>42</v>
      </c>
      <c r="C5" s="249">
        <v>-153031</v>
      </c>
      <c r="D5" s="249">
        <v>426891</v>
      </c>
      <c r="E5" s="249">
        <v>692309</v>
      </c>
      <c r="F5" s="249">
        <v>277833</v>
      </c>
      <c r="G5" s="311"/>
      <c r="H5" s="249">
        <v>137229</v>
      </c>
      <c r="I5" s="249">
        <v>103544</v>
      </c>
      <c r="J5" s="249">
        <v>195521</v>
      </c>
      <c r="K5" s="249">
        <v>57561</v>
      </c>
      <c r="L5" s="249">
        <v>315246</v>
      </c>
      <c r="M5" s="249">
        <v>2161551</v>
      </c>
      <c r="N5" s="249">
        <v>1565102</v>
      </c>
      <c r="O5" s="249">
        <v>34948</v>
      </c>
      <c r="P5" s="249">
        <v>368620</v>
      </c>
    </row>
    <row r="6" spans="1:18" ht="13.5" customHeight="1">
      <c r="A6" s="255"/>
      <c r="B6" s="28" t="s">
        <v>43</v>
      </c>
      <c r="C6" s="26">
        <v>0</v>
      </c>
      <c r="D6" s="42">
        <v>0</v>
      </c>
      <c r="E6" s="42">
        <v>0</v>
      </c>
      <c r="F6" s="42">
        <v>0</v>
      </c>
      <c r="G6" s="113"/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27">
        <v>0</v>
      </c>
      <c r="O6" s="42">
        <v>0</v>
      </c>
      <c r="P6" s="27">
        <v>0</v>
      </c>
    </row>
    <row r="7" spans="1:18" ht="13.5" customHeight="1">
      <c r="A7" s="255"/>
      <c r="B7" s="22" t="s">
        <v>44</v>
      </c>
      <c r="C7" s="26">
        <v>1579244</v>
      </c>
      <c r="D7" s="42">
        <v>757230</v>
      </c>
      <c r="E7" s="42">
        <v>1166146</v>
      </c>
      <c r="F7" s="42">
        <v>876093.87999999989</v>
      </c>
      <c r="G7" s="113"/>
      <c r="H7" s="42">
        <v>705702</v>
      </c>
      <c r="I7" s="42">
        <v>891735</v>
      </c>
      <c r="J7" s="42">
        <v>1018622</v>
      </c>
      <c r="K7" s="42">
        <v>1325404</v>
      </c>
      <c r="L7" s="42">
        <v>789835</v>
      </c>
      <c r="M7" s="42">
        <v>1423242</v>
      </c>
      <c r="N7" s="27">
        <v>555447</v>
      </c>
      <c r="O7" s="26">
        <v>678671</v>
      </c>
      <c r="P7" s="27">
        <v>1635351</v>
      </c>
    </row>
    <row r="8" spans="1:18" ht="13.5" customHeight="1">
      <c r="A8" s="255"/>
      <c r="B8" s="22" t="s">
        <v>45</v>
      </c>
      <c r="C8" s="86">
        <v>0</v>
      </c>
      <c r="D8" s="110">
        <v>0</v>
      </c>
      <c r="E8" s="110">
        <v>0</v>
      </c>
      <c r="F8" s="110">
        <v>-2749.8499999998598</v>
      </c>
      <c r="G8" s="203"/>
      <c r="H8" s="110">
        <v>587</v>
      </c>
      <c r="I8" s="110">
        <v>0</v>
      </c>
      <c r="J8" s="110">
        <v>0</v>
      </c>
      <c r="K8" s="110">
        <v>0</v>
      </c>
      <c r="L8" s="110"/>
      <c r="M8" s="110">
        <v>0</v>
      </c>
      <c r="N8" s="85"/>
      <c r="O8" s="86">
        <v>0</v>
      </c>
      <c r="P8" s="85">
        <v>-523</v>
      </c>
      <c r="R8" s="31">
        <f>SUM(C8:M8)</f>
        <v>-2162.8499999998598</v>
      </c>
    </row>
    <row r="9" spans="1:18" s="33" customFormat="1" ht="13.5" customHeight="1" thickBot="1">
      <c r="A9" s="256"/>
      <c r="B9" s="115" t="s">
        <v>46</v>
      </c>
      <c r="C9" s="78">
        <f>SUM(C5:C8)</f>
        <v>1426213</v>
      </c>
      <c r="D9" s="78">
        <f t="shared" ref="D9:P9" si="0">SUM(D5:D8)</f>
        <v>1184121</v>
      </c>
      <c r="E9" s="78">
        <f t="shared" si="0"/>
        <v>1858455</v>
      </c>
      <c r="F9" s="78">
        <f t="shared" ref="F9" si="1">SUM(F5:F8)</f>
        <v>1151177.03</v>
      </c>
      <c r="G9" s="204"/>
      <c r="H9" s="78">
        <f t="shared" si="0"/>
        <v>843518</v>
      </c>
      <c r="I9" s="78">
        <f t="shared" si="0"/>
        <v>995279</v>
      </c>
      <c r="J9" s="78">
        <f t="shared" si="0"/>
        <v>1214143</v>
      </c>
      <c r="K9" s="78">
        <f t="shared" si="0"/>
        <v>1382965</v>
      </c>
      <c r="L9" s="78">
        <f t="shared" si="0"/>
        <v>1105081</v>
      </c>
      <c r="M9" s="78">
        <f t="shared" si="0"/>
        <v>3584793</v>
      </c>
      <c r="N9" s="78">
        <f t="shared" ref="N9" si="2">SUM(N5:N8)</f>
        <v>2120549</v>
      </c>
      <c r="O9" s="78">
        <f t="shared" si="0"/>
        <v>713619</v>
      </c>
      <c r="P9" s="78">
        <f t="shared" si="0"/>
        <v>2003448</v>
      </c>
      <c r="R9" s="31">
        <f>SUM(C9:M9)</f>
        <v>14745745.030000001</v>
      </c>
    </row>
    <row r="10" spans="1:18" s="33" customFormat="1" ht="13.5" customHeight="1">
      <c r="A10" s="257" t="s">
        <v>47</v>
      </c>
      <c r="B10" s="47"/>
      <c r="C10" s="53"/>
      <c r="D10" s="53"/>
      <c r="E10" s="53"/>
      <c r="F10" s="53"/>
      <c r="G10" s="113"/>
      <c r="H10" s="53"/>
      <c r="I10" s="53"/>
      <c r="J10" s="53"/>
      <c r="K10" s="53"/>
      <c r="L10" s="53"/>
      <c r="M10" s="53"/>
      <c r="N10" s="53"/>
      <c r="O10" s="53"/>
      <c r="P10" s="53"/>
    </row>
    <row r="11" spans="1:18" s="33" customFormat="1" ht="13.5" customHeight="1">
      <c r="A11" s="258"/>
      <c r="B11" s="34" t="s">
        <v>48</v>
      </c>
      <c r="C11" s="35">
        <v>42009</v>
      </c>
      <c r="D11" s="35">
        <v>42009</v>
      </c>
      <c r="E11" s="35">
        <v>42009</v>
      </c>
      <c r="F11" s="35">
        <v>42009</v>
      </c>
      <c r="G11" s="111"/>
      <c r="H11" s="35">
        <v>42009</v>
      </c>
      <c r="I11" s="35">
        <v>42009</v>
      </c>
      <c r="J11" s="35">
        <v>42009</v>
      </c>
      <c r="K11" s="35">
        <v>0</v>
      </c>
      <c r="L11" s="35">
        <v>42009</v>
      </c>
      <c r="M11" s="35">
        <v>42009</v>
      </c>
      <c r="N11" s="35">
        <v>42009</v>
      </c>
      <c r="O11" s="35">
        <v>42009</v>
      </c>
      <c r="P11" s="35">
        <v>42009</v>
      </c>
      <c r="R11" s="31">
        <f>SUM(C11:M11)</f>
        <v>378081</v>
      </c>
    </row>
    <row r="12" spans="1:18" s="33" customFormat="1" ht="13.5" customHeight="1">
      <c r="A12" s="258"/>
      <c r="B12" s="34" t="s">
        <v>49</v>
      </c>
      <c r="C12" s="35">
        <v>9294</v>
      </c>
      <c r="D12" s="35">
        <v>0</v>
      </c>
      <c r="E12" s="35">
        <v>0</v>
      </c>
      <c r="F12" s="35">
        <v>0</v>
      </c>
      <c r="G12" s="111"/>
      <c r="H12" s="35">
        <v>21405</v>
      </c>
      <c r="I12" s="35">
        <v>2661</v>
      </c>
      <c r="J12" s="35">
        <v>76967</v>
      </c>
      <c r="K12" s="35">
        <v>0</v>
      </c>
      <c r="L12" s="35">
        <v>45190</v>
      </c>
      <c r="M12" s="35">
        <v>0</v>
      </c>
      <c r="N12" s="35">
        <v>0</v>
      </c>
      <c r="O12" s="35">
        <v>0</v>
      </c>
      <c r="P12" s="35">
        <v>2661</v>
      </c>
      <c r="R12" s="31">
        <f>SUM(C12:M12)</f>
        <v>155517</v>
      </c>
    </row>
    <row r="13" spans="1:18" s="33" customFormat="1" ht="13.5" customHeight="1" thickBot="1">
      <c r="A13" s="259"/>
      <c r="B13" s="43" t="s">
        <v>50</v>
      </c>
      <c r="C13" s="44">
        <f>1156+1500</f>
        <v>2656</v>
      </c>
      <c r="D13" s="44">
        <f>2661+36600</f>
        <v>39261</v>
      </c>
      <c r="E13" s="44">
        <v>2661</v>
      </c>
      <c r="F13" s="44">
        <v>2536.65</v>
      </c>
      <c r="G13" s="114"/>
      <c r="H13" s="44">
        <v>19050</v>
      </c>
      <c r="I13" s="44">
        <v>31250</v>
      </c>
      <c r="J13" s="44">
        <f>2661+6817</f>
        <v>9478</v>
      </c>
      <c r="K13" s="44">
        <v>9091</v>
      </c>
      <c r="L13" s="44">
        <f>806+985</f>
        <v>1791</v>
      </c>
      <c r="M13" s="44">
        <v>89661</v>
      </c>
      <c r="N13" s="44">
        <v>595</v>
      </c>
      <c r="O13" s="44">
        <v>0</v>
      </c>
      <c r="P13" s="44">
        <v>0</v>
      </c>
      <c r="R13" s="31">
        <f>SUM(C13:M13)</f>
        <v>207435.65</v>
      </c>
    </row>
    <row r="14" spans="1:18" ht="13.5" customHeight="1">
      <c r="A14" s="254" t="s">
        <v>51</v>
      </c>
      <c r="B14" s="36"/>
      <c r="C14" s="37"/>
      <c r="D14" s="38"/>
      <c r="E14" s="38"/>
      <c r="F14" s="38"/>
      <c r="G14" s="112"/>
      <c r="H14" s="38"/>
      <c r="I14" s="38"/>
      <c r="J14" s="38"/>
      <c r="K14" s="38"/>
      <c r="L14" s="38"/>
      <c r="M14" s="38"/>
      <c r="N14" s="39"/>
      <c r="O14" s="37"/>
      <c r="P14" s="38"/>
    </row>
    <row r="15" spans="1:18" ht="13.5" customHeight="1">
      <c r="A15" s="260"/>
      <c r="B15" s="40" t="s">
        <v>52</v>
      </c>
      <c r="C15" s="29">
        <v>69425</v>
      </c>
      <c r="D15" s="41">
        <v>94998</v>
      </c>
      <c r="E15" s="41">
        <v>136281</v>
      </c>
      <c r="F15" s="41">
        <v>181368</v>
      </c>
      <c r="G15" s="111"/>
      <c r="H15" s="41">
        <v>166605</v>
      </c>
      <c r="I15" s="41">
        <v>122707</v>
      </c>
      <c r="J15" s="41">
        <v>139455</v>
      </c>
      <c r="K15" s="41">
        <v>110051</v>
      </c>
      <c r="L15" s="41">
        <v>231917</v>
      </c>
      <c r="M15" s="41">
        <v>0</v>
      </c>
      <c r="N15" s="30">
        <v>74822</v>
      </c>
      <c r="O15" s="29">
        <v>242153</v>
      </c>
      <c r="P15" s="41">
        <v>253891</v>
      </c>
    </row>
    <row r="16" spans="1:18" ht="13.5" customHeight="1">
      <c r="A16" s="260"/>
      <c r="B16" s="40" t="s">
        <v>53</v>
      </c>
      <c r="C16" s="29">
        <v>9358</v>
      </c>
      <c r="D16" s="41">
        <v>42966</v>
      </c>
      <c r="E16" s="41">
        <v>12725</v>
      </c>
      <c r="F16" s="41">
        <v>26760</v>
      </c>
      <c r="G16" s="111"/>
      <c r="H16" s="41">
        <v>26070</v>
      </c>
      <c r="I16" s="41">
        <v>19325</v>
      </c>
      <c r="J16" s="41">
        <v>32651</v>
      </c>
      <c r="K16" s="41">
        <v>15085</v>
      </c>
      <c r="L16" s="41">
        <v>66082</v>
      </c>
      <c r="M16" s="41">
        <v>85500</v>
      </c>
      <c r="N16" s="30">
        <v>9450</v>
      </c>
      <c r="O16" s="29">
        <v>31227</v>
      </c>
      <c r="P16" s="41">
        <v>53405</v>
      </c>
    </row>
    <row r="17" spans="1:20" ht="13.5" customHeight="1">
      <c r="A17" s="260"/>
      <c r="B17" s="40" t="s">
        <v>54</v>
      </c>
      <c r="C17" s="29">
        <v>0</v>
      </c>
      <c r="D17" s="41">
        <v>87288</v>
      </c>
      <c r="E17" s="41">
        <v>66844</v>
      </c>
      <c r="F17" s="41">
        <v>112184.64</v>
      </c>
      <c r="G17" s="111"/>
      <c r="H17" s="41">
        <v>86318</v>
      </c>
      <c r="I17" s="41">
        <v>89511</v>
      </c>
      <c r="J17" s="41">
        <v>0</v>
      </c>
      <c r="K17" s="41">
        <v>0</v>
      </c>
      <c r="L17" s="41">
        <v>0</v>
      </c>
      <c r="M17" s="41">
        <v>440574</v>
      </c>
      <c r="N17" s="30">
        <v>35821</v>
      </c>
      <c r="O17" s="29">
        <v>147498</v>
      </c>
      <c r="P17" s="41">
        <v>144582</v>
      </c>
    </row>
    <row r="18" spans="1:20" ht="13.5" customHeight="1">
      <c r="A18" s="260"/>
      <c r="B18" s="40" t="s">
        <v>55</v>
      </c>
      <c r="C18" s="29">
        <v>61457</v>
      </c>
      <c r="D18" s="41">
        <v>102021</v>
      </c>
      <c r="E18" s="41">
        <v>65709</v>
      </c>
      <c r="F18" s="41">
        <v>56813.94</v>
      </c>
      <c r="G18" s="111"/>
      <c r="H18" s="41">
        <v>75696</v>
      </c>
      <c r="I18" s="41">
        <v>32660</v>
      </c>
      <c r="J18" s="41">
        <v>119286.05</v>
      </c>
      <c r="K18" s="41">
        <v>88105</v>
      </c>
      <c r="L18" s="41">
        <v>108878</v>
      </c>
      <c r="M18" s="41">
        <v>0</v>
      </c>
      <c r="N18" s="30">
        <v>24425</v>
      </c>
      <c r="O18" s="29">
        <v>107364</v>
      </c>
      <c r="P18" s="41">
        <v>171080</v>
      </c>
    </row>
    <row r="19" spans="1:20" ht="13.5" customHeight="1">
      <c r="A19" s="260"/>
      <c r="B19" s="40" t="s">
        <v>56</v>
      </c>
      <c r="C19" s="29">
        <v>2540</v>
      </c>
      <c r="D19" s="41">
        <v>11949</v>
      </c>
      <c r="E19" s="41">
        <v>0</v>
      </c>
      <c r="F19" s="41">
        <v>18119.77</v>
      </c>
      <c r="G19" s="111"/>
      <c r="H19" s="41">
        <v>13968</v>
      </c>
      <c r="I19" s="41">
        <v>12055</v>
      </c>
      <c r="J19" s="41">
        <v>49173.66</v>
      </c>
      <c r="K19" s="41">
        <v>15924</v>
      </c>
      <c r="L19" s="41">
        <v>25882</v>
      </c>
      <c r="M19" s="41">
        <v>17805</v>
      </c>
      <c r="N19" s="30">
        <v>9635</v>
      </c>
      <c r="O19" s="29">
        <v>43780</v>
      </c>
      <c r="P19" s="41">
        <v>3164</v>
      </c>
    </row>
    <row r="20" spans="1:20" ht="13.5" customHeight="1">
      <c r="A20" s="260"/>
      <c r="B20" s="40" t="s">
        <v>57</v>
      </c>
      <c r="C20" s="29">
        <v>0</v>
      </c>
      <c r="D20" s="41">
        <v>3438</v>
      </c>
      <c r="E20" s="41">
        <v>0</v>
      </c>
      <c r="F20" s="41">
        <v>0</v>
      </c>
      <c r="G20" s="111"/>
      <c r="H20" s="41">
        <v>0</v>
      </c>
      <c r="I20" s="41">
        <v>0</v>
      </c>
      <c r="J20" s="41">
        <v>22666</v>
      </c>
      <c r="K20" s="41">
        <v>6729</v>
      </c>
      <c r="L20" s="41">
        <v>2250</v>
      </c>
      <c r="M20" s="41">
        <v>1725</v>
      </c>
      <c r="N20" s="30">
        <v>0</v>
      </c>
      <c r="O20" s="29">
        <v>0</v>
      </c>
      <c r="P20" s="41">
        <v>0</v>
      </c>
    </row>
    <row r="21" spans="1:20" ht="13.5" customHeight="1">
      <c r="A21" s="260"/>
      <c r="B21" s="40" t="s">
        <v>58</v>
      </c>
      <c r="C21" s="26">
        <v>0</v>
      </c>
      <c r="D21" s="42">
        <v>0</v>
      </c>
      <c r="E21" s="42">
        <v>0</v>
      </c>
      <c r="F21" s="42">
        <v>0</v>
      </c>
      <c r="G21" s="113"/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27">
        <v>0</v>
      </c>
      <c r="O21" s="26">
        <v>0</v>
      </c>
      <c r="P21" s="42">
        <v>0</v>
      </c>
    </row>
    <row r="22" spans="1:20" ht="13.5" customHeight="1">
      <c r="A22" s="260"/>
      <c r="B22" s="40" t="s">
        <v>59</v>
      </c>
      <c r="C22" s="29">
        <v>0</v>
      </c>
      <c r="D22" s="41">
        <v>0</v>
      </c>
      <c r="E22" s="41">
        <v>0</v>
      </c>
      <c r="F22" s="41">
        <v>0</v>
      </c>
      <c r="G22" s="111"/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30">
        <v>0</v>
      </c>
      <c r="O22" s="29">
        <v>0</v>
      </c>
      <c r="P22" s="41">
        <v>0</v>
      </c>
    </row>
    <row r="23" spans="1:20" ht="13.5" customHeight="1">
      <c r="A23" s="260"/>
      <c r="B23" s="40" t="s">
        <v>60</v>
      </c>
      <c r="C23" s="29">
        <v>0</v>
      </c>
      <c r="D23" s="41">
        <v>47929</v>
      </c>
      <c r="E23" s="41">
        <v>4394</v>
      </c>
      <c r="F23" s="41">
        <v>50382</v>
      </c>
      <c r="G23" s="111"/>
      <c r="H23" s="41">
        <v>7546</v>
      </c>
      <c r="I23" s="41">
        <v>0</v>
      </c>
      <c r="J23" s="41">
        <v>79706</v>
      </c>
      <c r="K23" s="41">
        <v>1290</v>
      </c>
      <c r="L23" s="41">
        <v>0</v>
      </c>
      <c r="M23" s="41">
        <v>144513</v>
      </c>
      <c r="N23" s="30">
        <v>17250</v>
      </c>
      <c r="O23" s="29">
        <v>40131</v>
      </c>
      <c r="P23" s="41">
        <v>0</v>
      </c>
    </row>
    <row r="24" spans="1:20" ht="13.5" customHeight="1">
      <c r="A24" s="260"/>
      <c r="B24" s="40" t="s">
        <v>61</v>
      </c>
      <c r="C24" s="29">
        <v>0</v>
      </c>
      <c r="D24" s="41">
        <v>0</v>
      </c>
      <c r="E24" s="41">
        <v>0</v>
      </c>
      <c r="F24" s="41">
        <v>0</v>
      </c>
      <c r="G24" s="111"/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30">
        <v>0</v>
      </c>
      <c r="O24" s="29">
        <v>0</v>
      </c>
      <c r="P24" s="41">
        <v>0</v>
      </c>
    </row>
    <row r="25" spans="1:20" ht="13.5" customHeight="1">
      <c r="A25" s="260"/>
      <c r="B25" s="40" t="s">
        <v>62</v>
      </c>
      <c r="C25" s="29">
        <v>0</v>
      </c>
      <c r="D25" s="41">
        <v>0</v>
      </c>
      <c r="E25" s="41">
        <v>156155</v>
      </c>
      <c r="F25" s="41">
        <v>0</v>
      </c>
      <c r="G25" s="111"/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30">
        <v>659843</v>
      </c>
      <c r="O25" s="29">
        <v>0</v>
      </c>
      <c r="P25" s="41">
        <v>0</v>
      </c>
    </row>
    <row r="26" spans="1:20" ht="13.5" customHeight="1">
      <c r="A26" s="260"/>
      <c r="B26" s="40" t="s">
        <v>63</v>
      </c>
      <c r="C26" s="29">
        <v>19176</v>
      </c>
      <c r="D26" s="41">
        <v>162498</v>
      </c>
      <c r="E26" s="41">
        <v>76620</v>
      </c>
      <c r="F26" s="41">
        <v>150141.13</v>
      </c>
      <c r="G26" s="111"/>
      <c r="H26" s="41">
        <v>63453</v>
      </c>
      <c r="I26" s="41">
        <v>79782</v>
      </c>
      <c r="J26" s="41">
        <v>177970.03</v>
      </c>
      <c r="K26" s="41">
        <v>123814</v>
      </c>
      <c r="L26" s="41">
        <v>173796</v>
      </c>
      <c r="M26" s="41">
        <v>115587</v>
      </c>
      <c r="N26" s="30">
        <v>19748</v>
      </c>
      <c r="O26" s="29">
        <v>261483</v>
      </c>
      <c r="P26" s="41">
        <v>39745</v>
      </c>
    </row>
    <row r="27" spans="1:20" ht="13.5" customHeight="1">
      <c r="A27" s="260"/>
      <c r="B27" s="40" t="s">
        <v>151</v>
      </c>
      <c r="C27" s="29">
        <v>0</v>
      </c>
      <c r="D27" s="41">
        <v>53336</v>
      </c>
      <c r="E27" s="41">
        <v>0</v>
      </c>
      <c r="F27" s="41">
        <v>4225</v>
      </c>
      <c r="G27" s="111"/>
      <c r="H27" s="41">
        <v>0</v>
      </c>
      <c r="I27" s="41">
        <v>10972</v>
      </c>
      <c r="J27" s="41">
        <v>0</v>
      </c>
      <c r="K27" s="41">
        <v>0</v>
      </c>
      <c r="L27" s="41">
        <v>0</v>
      </c>
      <c r="M27" s="41">
        <v>0</v>
      </c>
      <c r="N27" s="30">
        <v>0</v>
      </c>
      <c r="O27" s="29">
        <v>0</v>
      </c>
      <c r="P27" s="41">
        <v>127430</v>
      </c>
    </row>
    <row r="28" spans="1:20" ht="13.5" customHeight="1">
      <c r="A28" s="260"/>
      <c r="B28" s="40" t="s">
        <v>65</v>
      </c>
      <c r="C28" s="29">
        <v>691629</v>
      </c>
      <c r="D28" s="41">
        <v>138323</v>
      </c>
      <c r="E28" s="41">
        <v>507024</v>
      </c>
      <c r="F28" s="41">
        <v>316497.09999999998</v>
      </c>
      <c r="G28" s="111"/>
      <c r="H28" s="41">
        <v>407446</v>
      </c>
      <c r="I28" s="41">
        <v>183452</v>
      </c>
      <c r="J28" s="41">
        <v>109290.56</v>
      </c>
      <c r="K28" s="41">
        <v>247922</v>
      </c>
      <c r="L28" s="41">
        <v>201960</v>
      </c>
      <c r="M28" s="41">
        <v>607231</v>
      </c>
      <c r="N28" s="30">
        <v>205964</v>
      </c>
      <c r="O28" s="29">
        <v>231337</v>
      </c>
      <c r="P28" s="41">
        <v>251938</v>
      </c>
      <c r="R28" s="31">
        <f>SUM(C28:M28)</f>
        <v>3410774.66</v>
      </c>
    </row>
    <row r="29" spans="1:20" ht="13.5" customHeight="1">
      <c r="A29" s="260"/>
      <c r="B29" s="40" t="s">
        <v>66</v>
      </c>
      <c r="C29" s="29">
        <v>1808</v>
      </c>
      <c r="D29" s="41">
        <v>44</v>
      </c>
      <c r="E29" s="41">
        <v>1803</v>
      </c>
      <c r="F29" s="41">
        <v>2333.37</v>
      </c>
      <c r="G29" s="111"/>
      <c r="H29" s="30">
        <v>19786</v>
      </c>
      <c r="I29" s="41">
        <v>153</v>
      </c>
      <c r="J29" s="41">
        <v>77777.09</v>
      </c>
      <c r="K29" s="41">
        <v>-7256</v>
      </c>
      <c r="L29" s="41">
        <v>1001</v>
      </c>
      <c r="M29" s="41">
        <v>636</v>
      </c>
      <c r="N29" s="30">
        <v>78335</v>
      </c>
      <c r="O29" s="29">
        <v>-14569</v>
      </c>
      <c r="P29" s="41">
        <v>887</v>
      </c>
      <c r="R29" s="31">
        <f>SUM(C29:M29)</f>
        <v>98085.459999999992</v>
      </c>
    </row>
    <row r="30" spans="1:20" ht="13.5" customHeight="1">
      <c r="A30" s="260"/>
      <c r="B30" s="40" t="s">
        <v>67</v>
      </c>
      <c r="C30" s="26">
        <f>9918+1557</f>
        <v>11475</v>
      </c>
      <c r="D30" s="42">
        <v>5868</v>
      </c>
      <c r="E30" s="42">
        <v>635</v>
      </c>
      <c r="F30" s="42">
        <v>13461.74</v>
      </c>
      <c r="G30" s="113"/>
      <c r="H30" s="42">
        <v>3052</v>
      </c>
      <c r="I30" s="42">
        <v>0</v>
      </c>
      <c r="J30" s="41">
        <v>19270.580000000002</v>
      </c>
      <c r="K30" s="42">
        <v>31601</v>
      </c>
      <c r="L30" s="42">
        <v>2879</v>
      </c>
      <c r="M30" s="42">
        <v>36234</v>
      </c>
      <c r="N30" s="27">
        <v>13479</v>
      </c>
      <c r="O30" s="26">
        <v>493</v>
      </c>
      <c r="P30" s="42">
        <v>119831</v>
      </c>
      <c r="R30" s="31">
        <f>SUM(C30:M30)</f>
        <v>124476.32</v>
      </c>
      <c r="S30" s="31">
        <f>+R30+R29+R8</f>
        <v>220398.93000000014</v>
      </c>
      <c r="T30" s="20" t="s">
        <v>68</v>
      </c>
    </row>
    <row r="31" spans="1:20" s="33" customFormat="1" ht="13.5" customHeight="1" thickBot="1">
      <c r="A31" s="256" t="s">
        <v>69</v>
      </c>
      <c r="B31" s="43"/>
      <c r="C31" s="44">
        <f>SUM(C15:C30)</f>
        <v>866868</v>
      </c>
      <c r="D31" s="44">
        <f t="shared" ref="D31:P31" si="3">SUM(D15:D30)</f>
        <v>750658</v>
      </c>
      <c r="E31" s="44">
        <f>SUM(E15:E30)</f>
        <v>1028190</v>
      </c>
      <c r="F31" s="44">
        <f>SUM(F15:F30)</f>
        <v>932286.69</v>
      </c>
      <c r="G31" s="114"/>
      <c r="H31" s="44">
        <f t="shared" si="3"/>
        <v>869940</v>
      </c>
      <c r="I31" s="44">
        <f t="shared" si="3"/>
        <v>550617</v>
      </c>
      <c r="J31" s="44">
        <f t="shared" si="3"/>
        <v>827245.97</v>
      </c>
      <c r="K31" s="44">
        <f t="shared" si="3"/>
        <v>633265</v>
      </c>
      <c r="L31" s="44">
        <f t="shared" si="3"/>
        <v>814645</v>
      </c>
      <c r="M31" s="44">
        <f t="shared" si="3"/>
        <v>1449805</v>
      </c>
      <c r="N31" s="44">
        <f t="shared" si="3"/>
        <v>1148772</v>
      </c>
      <c r="O31" s="44">
        <f t="shared" si="3"/>
        <v>1090897</v>
      </c>
      <c r="P31" s="44">
        <f t="shared" si="3"/>
        <v>1165953</v>
      </c>
      <c r="Q31" s="45">
        <f>AVERAGE(C31:P31)</f>
        <v>933010.97384615382</v>
      </c>
      <c r="R31" s="45">
        <f>SUM(C31:M31)+SUM(C11:M13)</f>
        <v>9464554.3100000005</v>
      </c>
    </row>
    <row r="32" spans="1:20" ht="13.5" customHeight="1">
      <c r="A32" s="254" t="s">
        <v>71</v>
      </c>
      <c r="B32" s="36"/>
      <c r="C32" s="37"/>
      <c r="D32" s="38"/>
      <c r="E32" s="38"/>
      <c r="F32" s="38"/>
      <c r="G32" s="112"/>
      <c r="H32" s="38"/>
      <c r="I32" s="38"/>
      <c r="J32" s="38"/>
      <c r="K32" s="38"/>
      <c r="L32" s="38"/>
      <c r="M32" s="38"/>
      <c r="N32" s="39"/>
      <c r="O32" s="37"/>
      <c r="P32" s="38"/>
    </row>
    <row r="33" spans="1:18" ht="13.5" customHeight="1">
      <c r="A33" s="260"/>
      <c r="B33" s="40" t="s">
        <v>72</v>
      </c>
      <c r="C33" s="29">
        <v>309739</v>
      </c>
      <c r="D33" s="41">
        <v>268184</v>
      </c>
      <c r="E33" s="41">
        <v>331112</v>
      </c>
      <c r="F33" s="41">
        <v>275337.21000000002</v>
      </c>
      <c r="G33" s="111"/>
      <c r="H33" s="41">
        <v>296173</v>
      </c>
      <c r="I33" s="41">
        <v>123778</v>
      </c>
      <c r="J33" s="41">
        <v>198877.47</v>
      </c>
      <c r="K33" s="41">
        <v>184347</v>
      </c>
      <c r="L33" s="41">
        <v>268649</v>
      </c>
      <c r="M33" s="41">
        <v>361796</v>
      </c>
      <c r="N33" s="30">
        <v>222442</v>
      </c>
      <c r="O33" s="29">
        <v>448927</v>
      </c>
      <c r="P33" s="41">
        <v>371915</v>
      </c>
      <c r="R33" s="31">
        <f>SUM(C33:M33)</f>
        <v>2617992.6799999997</v>
      </c>
    </row>
    <row r="34" spans="1:18" ht="13.5" customHeight="1">
      <c r="A34" s="260"/>
      <c r="B34" s="40" t="s">
        <v>73</v>
      </c>
      <c r="C34" s="29">
        <v>414608</v>
      </c>
      <c r="D34" s="41">
        <v>175821</v>
      </c>
      <c r="E34" s="41">
        <v>378333</v>
      </c>
      <c r="F34" s="41">
        <v>328490.31</v>
      </c>
      <c r="G34" s="111"/>
      <c r="H34" s="41">
        <v>360380</v>
      </c>
      <c r="I34" s="41">
        <v>268558</v>
      </c>
      <c r="J34" s="41">
        <v>271868.42</v>
      </c>
      <c r="K34" s="41">
        <v>214926</v>
      </c>
      <c r="L34" s="41">
        <v>263965</v>
      </c>
      <c r="M34" s="41">
        <v>486043</v>
      </c>
      <c r="N34" s="30">
        <v>169772</v>
      </c>
      <c r="O34" s="29">
        <v>340322</v>
      </c>
      <c r="P34" s="41">
        <v>206270</v>
      </c>
      <c r="R34" s="31">
        <f>SUM(C34:M34)</f>
        <v>3162992.73</v>
      </c>
    </row>
    <row r="35" spans="1:18" ht="13.5" customHeight="1">
      <c r="A35" s="260"/>
      <c r="B35" s="40" t="s">
        <v>74</v>
      </c>
      <c r="C35" s="29">
        <v>960</v>
      </c>
      <c r="D35" s="41">
        <v>23931</v>
      </c>
      <c r="E35" s="41">
        <v>15794</v>
      </c>
      <c r="F35" s="41">
        <v>21335.11</v>
      </c>
      <c r="G35" s="111"/>
      <c r="H35" s="41">
        <v>28184</v>
      </c>
      <c r="I35" s="41">
        <v>31440</v>
      </c>
      <c r="J35" s="41">
        <v>56369.3</v>
      </c>
      <c r="K35" s="41">
        <v>3250</v>
      </c>
      <c r="L35" s="41">
        <v>37655</v>
      </c>
      <c r="M35" s="41">
        <v>6786</v>
      </c>
      <c r="N35" s="30">
        <v>26886</v>
      </c>
      <c r="O35" s="29">
        <v>14153</v>
      </c>
      <c r="P35" s="41">
        <v>72716</v>
      </c>
    </row>
    <row r="36" spans="1:18" ht="13.5" customHeight="1">
      <c r="A36" s="260"/>
      <c r="B36" s="40" t="s">
        <v>75</v>
      </c>
      <c r="C36" s="29">
        <v>7510</v>
      </c>
      <c r="D36" s="41">
        <v>36410</v>
      </c>
      <c r="E36" s="41">
        <v>12207</v>
      </c>
      <c r="F36" s="41">
        <v>56504.06</v>
      </c>
      <c r="G36" s="111"/>
      <c r="H36" s="41">
        <v>12239</v>
      </c>
      <c r="I36" s="41">
        <v>40464</v>
      </c>
      <c r="J36" s="41">
        <v>52842.17</v>
      </c>
      <c r="K36" s="41">
        <v>10057</v>
      </c>
      <c r="L36" s="41">
        <v>65862</v>
      </c>
      <c r="M36" s="41">
        <v>146676</v>
      </c>
      <c r="N36" s="30">
        <v>15440</v>
      </c>
      <c r="O36" s="29">
        <v>78520</v>
      </c>
      <c r="P36" s="41">
        <v>125215</v>
      </c>
    </row>
    <row r="37" spans="1:18" ht="13.5" customHeight="1">
      <c r="A37" s="260"/>
      <c r="B37" s="40" t="s">
        <v>63</v>
      </c>
      <c r="C37" s="29">
        <v>21147</v>
      </c>
      <c r="D37" s="41">
        <v>10011</v>
      </c>
      <c r="E37" s="41">
        <v>20880</v>
      </c>
      <c r="F37" s="41">
        <v>13706.686000000016</v>
      </c>
      <c r="G37" s="111"/>
      <c r="H37" s="41">
        <v>23853</v>
      </c>
      <c r="I37" s="41">
        <v>17786</v>
      </c>
      <c r="J37" s="41">
        <v>21946.84</v>
      </c>
      <c r="K37" s="41">
        <v>10337</v>
      </c>
      <c r="L37" s="41">
        <v>11950</v>
      </c>
      <c r="M37" s="41">
        <v>15042</v>
      </c>
      <c r="N37" s="30">
        <v>4730</v>
      </c>
      <c r="O37" s="29">
        <v>23623</v>
      </c>
      <c r="P37" s="41">
        <v>15527</v>
      </c>
    </row>
    <row r="38" spans="1:18" ht="13.5" customHeight="1">
      <c r="A38" s="260"/>
      <c r="B38" s="40" t="s">
        <v>76</v>
      </c>
      <c r="C38" s="29">
        <v>54586</v>
      </c>
      <c r="D38" s="41">
        <v>29652</v>
      </c>
      <c r="E38" s="41">
        <v>15</v>
      </c>
      <c r="F38" s="41">
        <v>66910</v>
      </c>
      <c r="G38" s="111"/>
      <c r="H38" s="41">
        <v>27352</v>
      </c>
      <c r="I38" s="41">
        <v>0</v>
      </c>
      <c r="J38" s="41">
        <v>0</v>
      </c>
      <c r="K38" s="41">
        <v>0</v>
      </c>
      <c r="L38" s="41">
        <v>0</v>
      </c>
      <c r="M38" s="41">
        <v>0</v>
      </c>
      <c r="N38" s="30">
        <v>22520</v>
      </c>
      <c r="O38" s="29">
        <v>0</v>
      </c>
      <c r="P38" s="41">
        <v>100184</v>
      </c>
    </row>
    <row r="39" spans="1:18" ht="13.5" customHeight="1">
      <c r="A39" s="260"/>
      <c r="B39" s="40" t="s">
        <v>77</v>
      </c>
      <c r="C39" s="29">
        <v>1356</v>
      </c>
      <c r="D39" s="41">
        <v>18896</v>
      </c>
      <c r="E39" s="41">
        <v>9467</v>
      </c>
      <c r="F39" s="41">
        <v>8853.25</v>
      </c>
      <c r="G39" s="111"/>
      <c r="H39" s="41">
        <v>12008</v>
      </c>
      <c r="I39" s="41">
        <v>3353</v>
      </c>
      <c r="J39" s="41">
        <v>31411.41</v>
      </c>
      <c r="K39" s="41">
        <v>0</v>
      </c>
      <c r="L39" s="41">
        <v>7131</v>
      </c>
      <c r="M39" s="41">
        <v>20376</v>
      </c>
      <c r="N39" s="30">
        <v>16790</v>
      </c>
      <c r="O39" s="29">
        <v>27381</v>
      </c>
      <c r="P39" s="41">
        <v>30803</v>
      </c>
    </row>
    <row r="40" spans="1:18" ht="13.5" customHeight="1">
      <c r="A40" s="260"/>
      <c r="B40" s="40" t="s">
        <v>56</v>
      </c>
      <c r="C40" s="29">
        <v>15595</v>
      </c>
      <c r="D40" s="41">
        <v>20587</v>
      </c>
      <c r="E40" s="41">
        <v>69319</v>
      </c>
      <c r="F40" s="41">
        <v>3570.04</v>
      </c>
      <c r="G40" s="111"/>
      <c r="H40" s="41">
        <v>14996</v>
      </c>
      <c r="I40" s="41">
        <v>9893</v>
      </c>
      <c r="J40" s="41">
        <v>35307.449999999997</v>
      </c>
      <c r="K40" s="41">
        <v>15157</v>
      </c>
      <c r="L40" s="41">
        <v>27122</v>
      </c>
      <c r="M40" s="41">
        <v>48796</v>
      </c>
      <c r="N40" s="30">
        <v>14169</v>
      </c>
      <c r="O40" s="29">
        <v>99971</v>
      </c>
      <c r="P40" s="41">
        <v>32845</v>
      </c>
    </row>
    <row r="41" spans="1:18" ht="13.5" customHeight="1">
      <c r="A41" s="260"/>
      <c r="B41" s="40" t="s">
        <v>57</v>
      </c>
      <c r="C41" s="29">
        <v>0</v>
      </c>
      <c r="D41" s="41">
        <v>6003</v>
      </c>
      <c r="E41" s="41">
        <v>350</v>
      </c>
      <c r="F41" s="41">
        <v>0</v>
      </c>
      <c r="G41" s="111"/>
      <c r="H41" s="41">
        <v>0</v>
      </c>
      <c r="I41" s="41">
        <v>0</v>
      </c>
      <c r="J41" s="41">
        <v>17864.599999999999</v>
      </c>
      <c r="K41" s="41">
        <v>0</v>
      </c>
      <c r="L41" s="41">
        <v>15419</v>
      </c>
      <c r="M41" s="41">
        <v>1913</v>
      </c>
      <c r="N41" s="30">
        <v>0</v>
      </c>
      <c r="O41" s="29">
        <v>0</v>
      </c>
      <c r="P41" s="41">
        <v>0</v>
      </c>
    </row>
    <row r="42" spans="1:18" ht="13.5" customHeight="1">
      <c r="A42" s="260"/>
      <c r="B42" s="40" t="s">
        <v>58</v>
      </c>
      <c r="C42" s="29">
        <v>0</v>
      </c>
      <c r="D42" s="41">
        <v>0</v>
      </c>
      <c r="E42" s="41">
        <v>0</v>
      </c>
      <c r="F42" s="41">
        <v>0</v>
      </c>
      <c r="G42" s="111"/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30">
        <v>0</v>
      </c>
      <c r="O42" s="29">
        <v>0</v>
      </c>
      <c r="P42" s="41">
        <v>0</v>
      </c>
    </row>
    <row r="43" spans="1:18" ht="13.5" customHeight="1">
      <c r="A43" s="260"/>
      <c r="B43" s="40" t="s">
        <v>59</v>
      </c>
      <c r="C43" s="29">
        <v>0</v>
      </c>
      <c r="D43" s="41">
        <v>0</v>
      </c>
      <c r="E43" s="41">
        <v>0</v>
      </c>
      <c r="F43" s="41">
        <v>0</v>
      </c>
      <c r="G43" s="111"/>
      <c r="H43" s="41">
        <v>0</v>
      </c>
      <c r="I43" s="41">
        <v>0</v>
      </c>
      <c r="J43" s="41">
        <v>25.15</v>
      </c>
      <c r="K43" s="41">
        <v>0</v>
      </c>
      <c r="L43" s="41">
        <v>0</v>
      </c>
      <c r="M43" s="41">
        <v>0</v>
      </c>
      <c r="N43" s="30">
        <v>0</v>
      </c>
      <c r="O43" s="29">
        <v>0</v>
      </c>
      <c r="P43" s="41">
        <v>0</v>
      </c>
    </row>
    <row r="44" spans="1:18" ht="13.5" customHeight="1">
      <c r="A44" s="260"/>
      <c r="B44" s="40" t="s">
        <v>78</v>
      </c>
      <c r="C44" s="29">
        <v>51816</v>
      </c>
      <c r="D44" s="41">
        <v>99909</v>
      </c>
      <c r="E44" s="41">
        <v>72160</v>
      </c>
      <c r="F44" s="41">
        <v>116554.05</v>
      </c>
      <c r="G44" s="111"/>
      <c r="H44" s="41">
        <v>116673</v>
      </c>
      <c r="I44" s="41">
        <v>96410</v>
      </c>
      <c r="J44" s="41">
        <v>90700.39</v>
      </c>
      <c r="K44" s="41">
        <v>147332</v>
      </c>
      <c r="L44" s="41">
        <v>121323</v>
      </c>
      <c r="M44" s="41">
        <v>88572</v>
      </c>
      <c r="N44" s="30">
        <v>38135</v>
      </c>
      <c r="O44" s="29">
        <v>90692</v>
      </c>
      <c r="P44" s="41">
        <v>147510</v>
      </c>
    </row>
    <row r="45" spans="1:18" ht="13.5" customHeight="1">
      <c r="A45" s="260"/>
      <c r="B45" s="40" t="s">
        <v>61</v>
      </c>
      <c r="C45" s="29">
        <v>0</v>
      </c>
      <c r="D45" s="41">
        <v>0</v>
      </c>
      <c r="E45" s="41">
        <v>0</v>
      </c>
      <c r="F45" s="41">
        <v>0</v>
      </c>
      <c r="G45" s="111"/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30">
        <v>0</v>
      </c>
      <c r="O45" s="29">
        <v>0</v>
      </c>
      <c r="P45" s="41">
        <v>0</v>
      </c>
    </row>
    <row r="46" spans="1:18" ht="13.5" customHeight="1">
      <c r="A46" s="260"/>
      <c r="B46" s="40" t="s">
        <v>79</v>
      </c>
      <c r="C46" s="29">
        <v>0</v>
      </c>
      <c r="D46" s="41">
        <v>0</v>
      </c>
      <c r="E46" s="41">
        <v>36135</v>
      </c>
      <c r="F46" s="41">
        <v>0</v>
      </c>
      <c r="G46" s="111"/>
      <c r="H46" s="41">
        <v>0</v>
      </c>
      <c r="I46" s="41">
        <v>0</v>
      </c>
      <c r="J46" s="41">
        <v>34636.44</v>
      </c>
      <c r="K46" s="41">
        <v>8982</v>
      </c>
      <c r="L46" s="41">
        <v>2812</v>
      </c>
      <c r="M46" s="41">
        <v>0</v>
      </c>
      <c r="N46" s="30">
        <v>569165</v>
      </c>
      <c r="O46" s="29">
        <v>0</v>
      </c>
      <c r="P46" s="41">
        <v>0</v>
      </c>
    </row>
    <row r="47" spans="1:18" ht="13.5" customHeight="1">
      <c r="A47" s="260"/>
      <c r="B47" s="40" t="s">
        <v>80</v>
      </c>
      <c r="C47" s="29">
        <v>10940</v>
      </c>
      <c r="D47" s="41">
        <v>0</v>
      </c>
      <c r="E47" s="41">
        <v>0</v>
      </c>
      <c r="F47" s="41">
        <v>0</v>
      </c>
      <c r="G47" s="111"/>
      <c r="H47" s="41">
        <v>0</v>
      </c>
      <c r="I47" s="41">
        <v>0</v>
      </c>
      <c r="J47" s="41">
        <v>11780.45</v>
      </c>
      <c r="K47" s="41">
        <v>0</v>
      </c>
      <c r="L47" s="41">
        <v>14604</v>
      </c>
      <c r="M47" s="41">
        <v>0</v>
      </c>
      <c r="N47" s="30">
        <v>1390</v>
      </c>
      <c r="O47" s="29">
        <v>0</v>
      </c>
      <c r="P47" s="41">
        <v>11102</v>
      </c>
    </row>
    <row r="48" spans="1:18" ht="13.5" customHeight="1">
      <c r="A48" s="260"/>
      <c r="B48" s="40" t="s">
        <v>81</v>
      </c>
      <c r="C48" s="29">
        <v>-1854</v>
      </c>
      <c r="D48" s="41">
        <v>512</v>
      </c>
      <c r="E48" s="41">
        <v>2628</v>
      </c>
      <c r="F48" s="41">
        <v>-22322.55</v>
      </c>
      <c r="G48" s="111"/>
      <c r="H48" s="41">
        <v>-24419</v>
      </c>
      <c r="I48" s="41">
        <v>2652</v>
      </c>
      <c r="J48" s="41">
        <v>815.7</v>
      </c>
      <c r="K48" s="41">
        <v>9159</v>
      </c>
      <c r="L48" s="41">
        <v>-56506</v>
      </c>
      <c r="M48" s="41">
        <v>-6062</v>
      </c>
      <c r="N48" s="30">
        <v>-2101</v>
      </c>
      <c r="O48" s="29">
        <v>0</v>
      </c>
      <c r="P48" s="41">
        <v>12238</v>
      </c>
    </row>
    <row r="49" spans="1:18" ht="13.5" customHeight="1">
      <c r="A49" s="260"/>
      <c r="B49" s="40" t="s">
        <v>82</v>
      </c>
      <c r="C49" s="29">
        <v>-1137</v>
      </c>
      <c r="D49" s="41">
        <v>-111</v>
      </c>
      <c r="E49" s="41">
        <v>0</v>
      </c>
      <c r="F49" s="41">
        <v>265.06</v>
      </c>
      <c r="G49" s="111"/>
      <c r="H49" s="41">
        <v>0</v>
      </c>
      <c r="I49" s="41">
        <v>1000</v>
      </c>
      <c r="J49" s="41">
        <v>-619.36</v>
      </c>
      <c r="K49" s="41">
        <v>0</v>
      </c>
      <c r="L49" s="41">
        <v>2</v>
      </c>
      <c r="M49" s="41">
        <v>-170</v>
      </c>
      <c r="N49" s="30">
        <v>115</v>
      </c>
      <c r="O49" s="29">
        <v>-48</v>
      </c>
      <c r="P49" s="41">
        <v>773</v>
      </c>
    </row>
    <row r="50" spans="1:18" ht="13.5" customHeight="1">
      <c r="A50" s="260"/>
      <c r="B50" s="40" t="s">
        <v>83</v>
      </c>
      <c r="C50" s="29">
        <v>0</v>
      </c>
      <c r="D50" s="41">
        <v>0</v>
      </c>
      <c r="E50" s="41">
        <v>0</v>
      </c>
      <c r="F50" s="41">
        <v>0</v>
      </c>
      <c r="G50" s="111"/>
      <c r="H50" s="41">
        <v>21405</v>
      </c>
      <c r="I50" s="41">
        <v>0</v>
      </c>
      <c r="J50" s="41">
        <v>0</v>
      </c>
      <c r="K50" s="41">
        <v>0</v>
      </c>
      <c r="L50" s="41">
        <v>4946</v>
      </c>
      <c r="M50" s="41">
        <v>0</v>
      </c>
      <c r="N50" s="30">
        <v>0</v>
      </c>
      <c r="O50" s="29">
        <v>0</v>
      </c>
      <c r="P50" s="41">
        <v>0</v>
      </c>
    </row>
    <row r="51" spans="1:18" s="33" customFormat="1" ht="13.5" customHeight="1" thickBot="1">
      <c r="A51" s="256" t="s">
        <v>84</v>
      </c>
      <c r="B51" s="115"/>
      <c r="C51" s="44">
        <f>SUM(C33:C50)</f>
        <v>885266</v>
      </c>
      <c r="D51" s="44">
        <f t="shared" ref="D51:P51" si="4">SUM(D33:D50)</f>
        <v>689805</v>
      </c>
      <c r="E51" s="44">
        <f t="shared" si="4"/>
        <v>948400</v>
      </c>
      <c r="F51" s="44">
        <f t="shared" ref="F51" si="5">SUM(F33:F50)</f>
        <v>869203.22600000002</v>
      </c>
      <c r="G51" s="114"/>
      <c r="H51" s="44">
        <f t="shared" si="4"/>
        <v>888844</v>
      </c>
      <c r="I51" s="44">
        <f>SUM(I33:I50)</f>
        <v>595334</v>
      </c>
      <c r="J51" s="44">
        <f t="shared" si="4"/>
        <v>823826.43</v>
      </c>
      <c r="K51" s="44">
        <f t="shared" si="4"/>
        <v>603547</v>
      </c>
      <c r="L51" s="44">
        <f t="shared" si="4"/>
        <v>784934</v>
      </c>
      <c r="M51" s="44">
        <f>SUM(M33:M50)</f>
        <v>1169768</v>
      </c>
      <c r="N51" s="44">
        <f>SUM(N33:N50)</f>
        <v>1099453</v>
      </c>
      <c r="O51" s="44">
        <f t="shared" si="4"/>
        <v>1123541</v>
      </c>
      <c r="P51" s="44">
        <f t="shared" si="4"/>
        <v>1127098</v>
      </c>
      <c r="Q51" s="45">
        <f>AVERAGE(C51:P51)</f>
        <v>893001.51199999999</v>
      </c>
      <c r="R51" s="45">
        <f>+SUM(C51:M51)+SUM(C53:M53)</f>
        <v>9053934.716</v>
      </c>
    </row>
    <row r="52" spans="1:18" ht="13.5" customHeight="1">
      <c r="A52" s="254" t="s">
        <v>85</v>
      </c>
      <c r="B52" s="116"/>
      <c r="C52" s="89"/>
      <c r="D52" s="42"/>
      <c r="E52" s="42"/>
      <c r="F52" s="42"/>
      <c r="G52" s="113"/>
      <c r="H52" s="42"/>
      <c r="I52" s="42"/>
      <c r="J52" s="42"/>
      <c r="K52" s="42"/>
      <c r="L52" s="42"/>
      <c r="M52" s="42"/>
      <c r="N52" s="27"/>
      <c r="O52" s="26"/>
      <c r="P52" s="88"/>
    </row>
    <row r="53" spans="1:18" s="33" customFormat="1" ht="13.5" customHeight="1">
      <c r="A53" s="258"/>
      <c r="B53" s="34" t="s">
        <v>86</v>
      </c>
      <c r="C53" s="35">
        <v>97550</v>
      </c>
      <c r="D53" s="35">
        <v>70263</v>
      </c>
      <c r="E53" s="35">
        <v>90631</v>
      </c>
      <c r="F53" s="35">
        <v>56018.06</v>
      </c>
      <c r="G53" s="111"/>
      <c r="H53" s="35">
        <v>51273</v>
      </c>
      <c r="I53" s="35">
        <v>52002</v>
      </c>
      <c r="J53" s="35">
        <v>78686</v>
      </c>
      <c r="K53" s="35">
        <v>96725</v>
      </c>
      <c r="L53" s="35">
        <v>62003</v>
      </c>
      <c r="M53" s="35">
        <v>139856</v>
      </c>
      <c r="N53" s="35">
        <v>36274</v>
      </c>
      <c r="O53" s="35">
        <v>17517</v>
      </c>
      <c r="P53" s="35">
        <v>102618</v>
      </c>
      <c r="Q53" s="45"/>
      <c r="R53" s="31">
        <f>SUM(C53:M53)</f>
        <v>795007.06</v>
      </c>
    </row>
    <row r="54" spans="1:18" s="33" customFormat="1" ht="13.5" customHeight="1">
      <c r="A54" s="261"/>
      <c r="B54" s="47" t="s">
        <v>207</v>
      </c>
      <c r="C54" s="53">
        <v>442369</v>
      </c>
      <c r="D54" s="53">
        <v>518571</v>
      </c>
      <c r="E54" s="53">
        <v>593654</v>
      </c>
      <c r="F54" s="53">
        <v>355380</v>
      </c>
      <c r="G54" s="113"/>
      <c r="H54" s="53">
        <v>39615</v>
      </c>
      <c r="I54" s="53">
        <v>375370</v>
      </c>
      <c r="J54" s="53">
        <v>274643</v>
      </c>
      <c r="K54" s="53">
        <v>487569</v>
      </c>
      <c r="L54" s="53">
        <v>215900</v>
      </c>
      <c r="M54" s="53">
        <v>608965</v>
      </c>
      <c r="N54" s="53">
        <v>0</v>
      </c>
      <c r="O54" s="53">
        <v>0</v>
      </c>
      <c r="P54" s="53">
        <v>0</v>
      </c>
      <c r="Q54" s="45"/>
      <c r="R54" s="31">
        <f>SUM(C54:M54)</f>
        <v>3912036</v>
      </c>
    </row>
    <row r="55" spans="1:18" s="33" customFormat="1" ht="13.5" customHeight="1">
      <c r="A55" s="257" t="s">
        <v>208</v>
      </c>
      <c r="B55" s="47"/>
      <c r="C55" s="35">
        <f t="shared" ref="C55:E55" si="6">+C31-C51</f>
        <v>-18398</v>
      </c>
      <c r="D55" s="35">
        <f t="shared" si="6"/>
        <v>60853</v>
      </c>
      <c r="E55" s="35">
        <f t="shared" si="6"/>
        <v>79790</v>
      </c>
      <c r="F55" s="35">
        <f t="shared" ref="F55" si="7">+F31-F51</f>
        <v>63083.46399999992</v>
      </c>
      <c r="G55" s="111"/>
      <c r="H55" s="35">
        <f t="shared" ref="H55:P55" si="8">+H31-H51</f>
        <v>-18904</v>
      </c>
      <c r="I55" s="35">
        <f t="shared" si="8"/>
        <v>-44717</v>
      </c>
      <c r="J55" s="35">
        <f t="shared" si="8"/>
        <v>3419.5399999999208</v>
      </c>
      <c r="K55" s="35">
        <f t="shared" si="8"/>
        <v>29718</v>
      </c>
      <c r="L55" s="35">
        <f t="shared" si="8"/>
        <v>29711</v>
      </c>
      <c r="M55" s="35">
        <f t="shared" si="8"/>
        <v>280037</v>
      </c>
      <c r="N55" s="35">
        <f t="shared" si="8"/>
        <v>49319</v>
      </c>
      <c r="O55" s="35">
        <f t="shared" si="8"/>
        <v>-32644</v>
      </c>
      <c r="P55" s="35">
        <f t="shared" si="8"/>
        <v>38855</v>
      </c>
      <c r="Q55" s="45">
        <f>AVERAGE(C55:P55)</f>
        <v>40009.461846153834</v>
      </c>
    </row>
    <row r="56" spans="1:18" s="33" customFormat="1" ht="13.5" customHeight="1">
      <c r="A56" s="257" t="s">
        <v>209</v>
      </c>
      <c r="B56" s="47"/>
      <c r="C56" s="35">
        <f>+C31-C51-C53-C54</f>
        <v>-558317</v>
      </c>
      <c r="D56" s="35">
        <f t="shared" ref="D56:E56" si="9">+D31-D51-D53-D54</f>
        <v>-527981</v>
      </c>
      <c r="E56" s="35">
        <f t="shared" si="9"/>
        <v>-604495</v>
      </c>
      <c r="F56" s="35">
        <f t="shared" ref="F56" si="10">+F31-F51-F53-F54</f>
        <v>-348314.59600000008</v>
      </c>
      <c r="G56" s="111"/>
      <c r="H56" s="35">
        <f t="shared" ref="H56:P56" si="11">+H31-H51-H53-H54</f>
        <v>-109792</v>
      </c>
      <c r="I56" s="35">
        <f t="shared" si="11"/>
        <v>-472089</v>
      </c>
      <c r="J56" s="35">
        <f t="shared" si="11"/>
        <v>-349909.46000000008</v>
      </c>
      <c r="K56" s="35">
        <f t="shared" si="11"/>
        <v>-554576</v>
      </c>
      <c r="L56" s="35">
        <f t="shared" si="11"/>
        <v>-248192</v>
      </c>
      <c r="M56" s="35">
        <f t="shared" si="11"/>
        <v>-468784</v>
      </c>
      <c r="N56" s="35">
        <f t="shared" si="11"/>
        <v>13045</v>
      </c>
      <c r="O56" s="35">
        <f t="shared" si="11"/>
        <v>-50161</v>
      </c>
      <c r="P56" s="35">
        <f t="shared" si="11"/>
        <v>-63763</v>
      </c>
      <c r="Q56" s="45">
        <f>AVERAGE(C56:P56)</f>
        <v>-334102.23507692304</v>
      </c>
    </row>
    <row r="57" spans="1:18" s="33" customFormat="1" ht="13.5" customHeight="1">
      <c r="A57" s="257" t="s">
        <v>210</v>
      </c>
      <c r="B57" s="47"/>
      <c r="C57" s="35">
        <f t="shared" ref="C57:E57" si="12">+C11+C12+C13+C31+-C51</f>
        <v>35561</v>
      </c>
      <c r="D57" s="35">
        <f t="shared" si="12"/>
        <v>142123</v>
      </c>
      <c r="E57" s="35">
        <f t="shared" si="12"/>
        <v>124460</v>
      </c>
      <c r="F57" s="35">
        <f t="shared" ref="F57" si="13">+F11+F12+F13+F31+-F51</f>
        <v>107629.11399999994</v>
      </c>
      <c r="G57" s="111"/>
      <c r="H57" s="35">
        <f t="shared" ref="H57:P57" si="14">+H11+H12+H13+H31+-H51</f>
        <v>63560</v>
      </c>
      <c r="I57" s="35">
        <f t="shared" si="14"/>
        <v>31203</v>
      </c>
      <c r="J57" s="35">
        <f t="shared" si="14"/>
        <v>131873.53999999992</v>
      </c>
      <c r="K57" s="35">
        <f t="shared" si="14"/>
        <v>38809</v>
      </c>
      <c r="L57" s="35">
        <f t="shared" si="14"/>
        <v>118701</v>
      </c>
      <c r="M57" s="35">
        <f t="shared" si="14"/>
        <v>411707</v>
      </c>
      <c r="N57" s="35">
        <f t="shared" si="14"/>
        <v>91923</v>
      </c>
      <c r="O57" s="35">
        <f t="shared" si="14"/>
        <v>9365</v>
      </c>
      <c r="P57" s="35">
        <f t="shared" si="14"/>
        <v>83525</v>
      </c>
      <c r="Q57" s="45">
        <f>AVERAGE(C57:P57)</f>
        <v>106956.89646153845</v>
      </c>
    </row>
    <row r="58" spans="1:18" s="33" customFormat="1" ht="13.5" customHeight="1">
      <c r="A58" s="257" t="s">
        <v>211</v>
      </c>
      <c r="B58" s="47"/>
      <c r="C58" s="35">
        <f>+C11+C12+C13+C31-C51-C53-C54</f>
        <v>-504358</v>
      </c>
      <c r="D58" s="35">
        <f t="shared" ref="D58:E58" si="15">+D11+D12+D13+D31-D51-D53-D54</f>
        <v>-446711</v>
      </c>
      <c r="E58" s="35">
        <f t="shared" si="15"/>
        <v>-559825</v>
      </c>
      <c r="F58" s="35">
        <f t="shared" ref="F58" si="16">+F11+F12+F13+F31-F51-F53-F54</f>
        <v>-303768.94600000005</v>
      </c>
      <c r="G58" s="111"/>
      <c r="H58" s="35">
        <f t="shared" ref="H58:P58" si="17">+H11+H12+H13+H31-H51-H53-H54</f>
        <v>-27328</v>
      </c>
      <c r="I58" s="35">
        <f t="shared" si="17"/>
        <v>-396169</v>
      </c>
      <c r="J58" s="35">
        <f t="shared" si="17"/>
        <v>-221455.46000000008</v>
      </c>
      <c r="K58" s="35">
        <f t="shared" si="17"/>
        <v>-545485</v>
      </c>
      <c r="L58" s="35">
        <f t="shared" si="17"/>
        <v>-159202</v>
      </c>
      <c r="M58" s="35">
        <f t="shared" si="17"/>
        <v>-337114</v>
      </c>
      <c r="N58" s="35">
        <f t="shared" si="17"/>
        <v>55649</v>
      </c>
      <c r="O58" s="35">
        <f t="shared" si="17"/>
        <v>-8152</v>
      </c>
      <c r="P58" s="35">
        <f t="shared" si="17"/>
        <v>-19093</v>
      </c>
      <c r="Q58" s="45">
        <f>AVERAGE(C58:P58)</f>
        <v>-267154.80046153849</v>
      </c>
      <c r="R58" s="45">
        <f>SUM(C58:M58)</f>
        <v>-3501416.406</v>
      </c>
    </row>
    <row r="59" spans="1:18" ht="13.5" customHeight="1">
      <c r="A59" s="255" t="s">
        <v>206</v>
      </c>
      <c r="B59" s="22"/>
      <c r="C59" s="48"/>
      <c r="D59" s="49"/>
      <c r="E59" s="49"/>
      <c r="F59" s="49"/>
      <c r="G59" s="109"/>
      <c r="H59" s="49"/>
      <c r="I59" s="49"/>
      <c r="J59" s="49"/>
      <c r="K59" s="49"/>
      <c r="L59" s="49"/>
      <c r="M59" s="49"/>
      <c r="N59" s="50"/>
      <c r="O59" s="48"/>
      <c r="P59" s="49"/>
    </row>
    <row r="60" spans="1:18" s="60" customFormat="1" ht="13.5" customHeight="1">
      <c r="A60" s="262"/>
      <c r="B60" s="238" t="s">
        <v>42</v>
      </c>
      <c r="C60" s="27">
        <v>-200943</v>
      </c>
      <c r="D60" s="27">
        <v>519260</v>
      </c>
      <c r="E60" s="27">
        <v>660960</v>
      </c>
      <c r="F60" s="27">
        <v>332680.26</v>
      </c>
      <c r="G60" s="113"/>
      <c r="H60" s="27">
        <v>129836</v>
      </c>
      <c r="I60" s="27">
        <v>120347</v>
      </c>
      <c r="J60" s="27">
        <v>110439</v>
      </c>
      <c r="K60" s="27">
        <v>62552</v>
      </c>
      <c r="L60" s="27">
        <v>312151</v>
      </c>
      <c r="M60" s="27">
        <v>2332480</v>
      </c>
      <c r="N60" s="27">
        <v>1632522</v>
      </c>
      <c r="O60" s="27">
        <v>44312</v>
      </c>
      <c r="P60" s="27">
        <v>413967</v>
      </c>
      <c r="Q60" s="108">
        <f>AVERAGE(C60:P60)</f>
        <v>497735.63538461539</v>
      </c>
    </row>
    <row r="61" spans="1:18" s="60" customFormat="1" ht="13.5" customHeight="1">
      <c r="A61" s="262"/>
      <c r="B61" s="238" t="s">
        <v>220</v>
      </c>
      <c r="C61" s="27">
        <v>-393859</v>
      </c>
      <c r="D61" s="27">
        <v>-468816</v>
      </c>
      <c r="E61" s="27">
        <v>-565676</v>
      </c>
      <c r="F61" s="27">
        <v>-305598</v>
      </c>
      <c r="G61" s="113"/>
      <c r="H61" s="27">
        <v>0</v>
      </c>
      <c r="I61" s="27">
        <v>-360971</v>
      </c>
      <c r="J61" s="27">
        <v>-252108</v>
      </c>
      <c r="K61" s="27">
        <v>-460663</v>
      </c>
      <c r="L61" s="27">
        <v>-180672</v>
      </c>
      <c r="M61" s="27">
        <v>-608965</v>
      </c>
      <c r="N61" s="27">
        <v>0</v>
      </c>
      <c r="O61" s="27"/>
      <c r="P61" s="27"/>
      <c r="Q61" s="108"/>
    </row>
    <row r="62" spans="1:18" s="60" customFormat="1" ht="13.5" customHeight="1">
      <c r="A62" s="262"/>
      <c r="B62" s="238" t="s">
        <v>43</v>
      </c>
      <c r="C62" s="27">
        <v>0</v>
      </c>
      <c r="D62" s="27">
        <v>0</v>
      </c>
      <c r="E62" s="27">
        <v>0</v>
      </c>
      <c r="F62" s="27">
        <v>0</v>
      </c>
      <c r="G62" s="113"/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108">
        <f>MAX(C60:P60)</f>
        <v>2332480</v>
      </c>
    </row>
    <row r="63" spans="1:18" s="240" customFormat="1" ht="13.5" customHeight="1">
      <c r="A63" s="262"/>
      <c r="B63" s="238" t="s">
        <v>44</v>
      </c>
      <c r="C63" s="27">
        <v>1516653</v>
      </c>
      <c r="D63" s="27">
        <v>686967</v>
      </c>
      <c r="E63" s="27">
        <v>1203347</v>
      </c>
      <c r="F63" s="27">
        <v>820075.77</v>
      </c>
      <c r="G63" s="113"/>
      <c r="H63" s="27">
        <v>686352</v>
      </c>
      <c r="I63" s="27">
        <v>839733</v>
      </c>
      <c r="J63" s="27">
        <v>1134357</v>
      </c>
      <c r="K63" s="27">
        <v>1235591</v>
      </c>
      <c r="L63" s="27">
        <v>814400</v>
      </c>
      <c r="M63" s="27">
        <v>1524162</v>
      </c>
      <c r="N63" s="27">
        <v>543676</v>
      </c>
      <c r="O63" s="27">
        <v>661154</v>
      </c>
      <c r="P63" s="27">
        <v>1570387</v>
      </c>
      <c r="Q63" s="242">
        <f>MIN(C60:P60)</f>
        <v>-200943</v>
      </c>
    </row>
    <row r="64" spans="1:18" s="33" customFormat="1" ht="13.5" customHeight="1">
      <c r="A64" s="257"/>
      <c r="B64" s="52" t="s">
        <v>46</v>
      </c>
      <c r="C64" s="68">
        <f>SUM(C60:C63)</f>
        <v>921851</v>
      </c>
      <c r="D64" s="68">
        <f>SUM(D60:D63)</f>
        <v>737411</v>
      </c>
      <c r="E64" s="68">
        <f>SUM(E60:E63)</f>
        <v>1298631</v>
      </c>
      <c r="F64" s="68">
        <f>SUM(F60:F63)</f>
        <v>847158.03</v>
      </c>
      <c r="G64" s="109"/>
      <c r="H64" s="68">
        <f>SUM(H60:H63)</f>
        <v>816188</v>
      </c>
      <c r="I64" s="68">
        <f t="shared" ref="I64:P64" si="18">SUM(I60:I63)</f>
        <v>599109</v>
      </c>
      <c r="J64" s="68">
        <f t="shared" si="18"/>
        <v>992688</v>
      </c>
      <c r="K64" s="68">
        <f t="shared" si="18"/>
        <v>837480</v>
      </c>
      <c r="L64" s="68">
        <f t="shared" si="18"/>
        <v>945879</v>
      </c>
      <c r="M64" s="68">
        <f t="shared" si="18"/>
        <v>3247677</v>
      </c>
      <c r="N64" s="68">
        <f t="shared" si="18"/>
        <v>2176198</v>
      </c>
      <c r="O64" s="68">
        <f t="shared" si="18"/>
        <v>705466</v>
      </c>
      <c r="P64" s="68">
        <f t="shared" si="18"/>
        <v>1984354</v>
      </c>
    </row>
    <row r="65" spans="1:17" s="230" customFormat="1" ht="13.5" customHeight="1">
      <c r="A65" s="263" t="s">
        <v>87</v>
      </c>
      <c r="B65" s="224"/>
      <c r="C65" s="276">
        <f t="shared" ref="C65:P65" si="19">C60/(C51)</f>
        <v>-0.22698601324347711</v>
      </c>
      <c r="D65" s="277">
        <f t="shared" si="19"/>
        <v>0.7527634621378505</v>
      </c>
      <c r="E65" s="277">
        <f t="shared" si="19"/>
        <v>0.69692113032475744</v>
      </c>
      <c r="F65" s="277">
        <f t="shared" ref="F65" si="20">F60/(F51)</f>
        <v>0.3827416305516565</v>
      </c>
      <c r="G65" s="285"/>
      <c r="H65" s="277">
        <f t="shared" si="19"/>
        <v>0.14607287668027236</v>
      </c>
      <c r="I65" s="277">
        <f t="shared" si="19"/>
        <v>0.20215038952923906</v>
      </c>
      <c r="J65" s="277">
        <f t="shared" si="19"/>
        <v>0.13405615063842999</v>
      </c>
      <c r="K65" s="277">
        <f t="shared" si="19"/>
        <v>0.1036406443905777</v>
      </c>
      <c r="L65" s="277">
        <f t="shared" si="19"/>
        <v>0.39767802133682578</v>
      </c>
      <c r="M65" s="277">
        <f t="shared" si="19"/>
        <v>1.9939680346872199</v>
      </c>
      <c r="N65" s="277">
        <f t="shared" si="19"/>
        <v>1.4848492841440244</v>
      </c>
      <c r="O65" s="278">
        <f t="shared" si="19"/>
        <v>3.9439593214666842E-2</v>
      </c>
      <c r="P65" s="277">
        <f t="shared" si="19"/>
        <v>0.36728571960912004</v>
      </c>
      <c r="Q65" s="229">
        <f>SUM(C65:P65)/14</f>
        <v>0.46247006600008306</v>
      </c>
    </row>
    <row r="66" spans="1:17" s="51" customFormat="1" ht="12.75" hidden="1" customHeight="1">
      <c r="A66" s="222"/>
      <c r="B66" s="62" t="s">
        <v>88</v>
      </c>
      <c r="C66" s="119">
        <f>+C9+C11+C12+C13+C31-C51-C53-C64-C54</f>
        <v>4</v>
      </c>
      <c r="D66" s="119">
        <f t="shared" ref="D66:P66" si="21">+D9+D11+D12+D13+D31-D51-D53-D64-D54</f>
        <v>-1</v>
      </c>
      <c r="E66" s="119">
        <f t="shared" si="21"/>
        <v>-1</v>
      </c>
      <c r="F66" s="119">
        <f t="shared" ref="F66" si="22">+F9+F11+F12+F13+F31-F51-F53-F64-F54</f>
        <v>250.05400000000373</v>
      </c>
      <c r="G66" s="120">
        <f t="shared" ref="G66" si="23">+G9+G11+G12+G13+G31-G51-G53-G64-G54</f>
        <v>0</v>
      </c>
      <c r="H66" s="119">
        <f t="shared" si="21"/>
        <v>2</v>
      </c>
      <c r="I66" s="119">
        <f t="shared" si="21"/>
        <v>1</v>
      </c>
      <c r="J66" s="119">
        <f t="shared" si="21"/>
        <v>-0.46000000042840838</v>
      </c>
      <c r="K66" s="119">
        <f t="shared" si="21"/>
        <v>0</v>
      </c>
      <c r="L66" s="119">
        <f t="shared" si="21"/>
        <v>0</v>
      </c>
      <c r="M66" s="119">
        <f t="shared" si="21"/>
        <v>2</v>
      </c>
      <c r="N66" s="119">
        <f t="shared" si="21"/>
        <v>0</v>
      </c>
      <c r="O66" s="119">
        <f t="shared" si="21"/>
        <v>1</v>
      </c>
      <c r="P66" s="119">
        <f t="shared" si="21"/>
        <v>1</v>
      </c>
      <c r="Q66" s="121">
        <f>MAX(C65:P65)</f>
        <v>1.9939680346872199</v>
      </c>
    </row>
    <row r="67" spans="1:17" s="51" customFormat="1" ht="12.75" hidden="1" customHeight="1">
      <c r="A67" s="234"/>
      <c r="B67" s="234"/>
      <c r="C67" s="80">
        <f t="shared" ref="C67:P67" si="24">+C9+C58-C64</f>
        <v>4</v>
      </c>
      <c r="D67" s="80">
        <f t="shared" si="24"/>
        <v>-1</v>
      </c>
      <c r="E67" s="80">
        <f t="shared" si="24"/>
        <v>-1</v>
      </c>
      <c r="F67" s="80">
        <f t="shared" ref="F67" si="25">+F9+F58-F64</f>
        <v>250.05400000000373</v>
      </c>
      <c r="G67" s="209">
        <f t="shared" ref="G67" si="26">+G9+G58-G64</f>
        <v>0</v>
      </c>
      <c r="H67" s="80">
        <f t="shared" si="24"/>
        <v>2</v>
      </c>
      <c r="I67" s="80">
        <f t="shared" si="24"/>
        <v>1</v>
      </c>
      <c r="J67" s="80">
        <f t="shared" si="24"/>
        <v>-0.46000000007916242</v>
      </c>
      <c r="K67" s="80">
        <f t="shared" si="24"/>
        <v>0</v>
      </c>
      <c r="L67" s="80">
        <f t="shared" si="24"/>
        <v>0</v>
      </c>
      <c r="M67" s="80">
        <f t="shared" si="24"/>
        <v>2</v>
      </c>
      <c r="N67" s="80">
        <f t="shared" si="24"/>
        <v>0</v>
      </c>
      <c r="O67" s="80">
        <f t="shared" si="24"/>
        <v>1</v>
      </c>
      <c r="P67" s="214">
        <f t="shared" si="24"/>
        <v>1</v>
      </c>
      <c r="Q67" s="121"/>
    </row>
    <row r="68" spans="1:17" s="160" customFormat="1" ht="13.5" customHeight="1">
      <c r="A68" s="234"/>
      <c r="B68" s="234"/>
      <c r="C68" s="80"/>
      <c r="D68" s="80"/>
      <c r="E68" s="80"/>
      <c r="F68" s="80"/>
      <c r="G68" s="209"/>
      <c r="H68" s="80"/>
      <c r="I68" s="80"/>
      <c r="J68" s="80"/>
      <c r="K68" s="80"/>
      <c r="L68" s="80"/>
      <c r="M68" s="80"/>
      <c r="N68" s="80"/>
      <c r="O68" s="80"/>
      <c r="P68" s="80"/>
      <c r="Q68" s="121"/>
    </row>
    <row r="69" spans="1:17" s="51" customFormat="1" ht="13.5" customHeight="1">
      <c r="A69" s="213" t="s">
        <v>199</v>
      </c>
      <c r="B69" s="63"/>
      <c r="C69" s="63"/>
      <c r="D69" s="63"/>
      <c r="E69" s="80"/>
      <c r="F69" s="80"/>
      <c r="G69" s="209"/>
      <c r="H69" s="80"/>
      <c r="I69" s="80"/>
      <c r="J69" s="80"/>
      <c r="K69" s="80"/>
      <c r="L69" s="80"/>
      <c r="M69" s="80"/>
      <c r="N69" s="80"/>
      <c r="O69" s="80"/>
      <c r="P69" s="80"/>
      <c r="Q69" s="121"/>
    </row>
    <row r="70" spans="1:17" s="51" customFormat="1" ht="13.5" customHeight="1">
      <c r="A70" s="210" t="s">
        <v>200</v>
      </c>
      <c r="B70" s="63"/>
      <c r="C70" s="63"/>
      <c r="D70" s="63"/>
      <c r="E70" s="80"/>
      <c r="F70" s="80"/>
      <c r="G70" s="209"/>
      <c r="H70" s="80"/>
      <c r="I70" s="80"/>
      <c r="J70" s="80"/>
      <c r="K70" s="80"/>
      <c r="L70" s="80"/>
      <c r="M70" s="80"/>
      <c r="N70" s="80"/>
      <c r="O70" s="80"/>
      <c r="P70" s="80"/>
      <c r="Q70" s="121"/>
    </row>
    <row r="71" spans="1:17" s="51" customFormat="1" ht="13.5" customHeight="1">
      <c r="A71" s="211" t="s">
        <v>89</v>
      </c>
      <c r="B71" s="63"/>
      <c r="C71" s="63"/>
      <c r="D71" s="63"/>
      <c r="E71" s="80"/>
      <c r="F71" s="80"/>
      <c r="G71" s="209"/>
      <c r="H71" s="80"/>
      <c r="I71" s="80"/>
      <c r="J71" s="80"/>
      <c r="K71" s="80"/>
      <c r="L71" s="80"/>
      <c r="M71" s="80"/>
      <c r="N71" s="80"/>
      <c r="O71" s="80"/>
      <c r="P71" s="80"/>
      <c r="Q71" s="121"/>
    </row>
    <row r="72" spans="1:17" s="51" customFormat="1" ht="13.5" customHeight="1">
      <c r="A72" s="212"/>
      <c r="B72" s="63"/>
      <c r="C72" s="63"/>
      <c r="D72" s="63"/>
      <c r="E72" s="80"/>
      <c r="F72" s="80"/>
      <c r="G72" s="209"/>
      <c r="H72" s="80"/>
      <c r="I72" s="80"/>
      <c r="J72" s="80"/>
      <c r="K72" s="80"/>
      <c r="L72" s="80"/>
      <c r="M72" s="80"/>
      <c r="N72" s="80"/>
      <c r="O72" s="80"/>
      <c r="P72" s="80"/>
      <c r="Q72" s="121"/>
    </row>
    <row r="73" spans="1:17" s="51" customFormat="1" ht="13.5" customHeight="1">
      <c r="A73" s="210" t="s">
        <v>201</v>
      </c>
      <c r="B73" s="63"/>
      <c r="C73" s="63"/>
      <c r="D73" s="63"/>
      <c r="E73" s="80"/>
      <c r="F73" s="80"/>
      <c r="G73" s="209"/>
      <c r="H73" s="80"/>
      <c r="I73" s="80"/>
      <c r="J73" s="80"/>
      <c r="K73" s="80"/>
      <c r="L73" s="80"/>
      <c r="M73" s="80"/>
      <c r="N73" s="80"/>
      <c r="O73" s="80"/>
      <c r="P73" s="80"/>
      <c r="Q73" s="121"/>
    </row>
    <row r="74" spans="1:17" s="51" customFormat="1" ht="13.5" customHeight="1">
      <c r="A74" s="210" t="s">
        <v>90</v>
      </c>
      <c r="B74" s="63"/>
      <c r="C74" s="63"/>
      <c r="D74" s="63"/>
      <c r="E74" s="80"/>
      <c r="F74" s="80"/>
      <c r="G74" s="209"/>
      <c r="H74" s="80"/>
      <c r="I74" s="80"/>
      <c r="J74" s="80"/>
      <c r="K74" s="80"/>
      <c r="L74" s="80"/>
      <c r="M74" s="80"/>
      <c r="N74" s="80"/>
      <c r="O74" s="80"/>
      <c r="P74" s="80"/>
      <c r="Q74" s="121"/>
    </row>
    <row r="75" spans="1:17" ht="12.75" customHeight="1">
      <c r="A75" s="210" t="s">
        <v>91</v>
      </c>
      <c r="B75" s="236"/>
      <c r="C75" s="215"/>
      <c r="D75" s="215"/>
      <c r="E75" s="62"/>
      <c r="F75" s="62"/>
      <c r="G75" s="216"/>
      <c r="H75" s="62"/>
      <c r="I75" s="62"/>
      <c r="J75" s="62"/>
      <c r="K75" s="62"/>
      <c r="L75" s="62"/>
      <c r="M75" s="62"/>
      <c r="N75" s="62"/>
      <c r="O75" s="62"/>
      <c r="P75" s="62"/>
    </row>
    <row r="76" spans="1:17" ht="12.75" customHeight="1">
      <c r="A76" s="63"/>
      <c r="B76" s="124"/>
      <c r="C76" s="217"/>
      <c r="D76" s="217"/>
      <c r="E76" s="62"/>
      <c r="F76" s="62"/>
      <c r="G76" s="216"/>
      <c r="H76" s="62"/>
      <c r="I76" s="62"/>
      <c r="J76" s="62"/>
      <c r="K76" s="62"/>
      <c r="L76" s="62"/>
      <c r="M76" s="62"/>
      <c r="N76" s="62"/>
      <c r="O76" s="62"/>
      <c r="P76" s="62"/>
    </row>
    <row r="77" spans="1:17">
      <c r="A77" s="279"/>
      <c r="B77" s="280"/>
      <c r="C77" s="252"/>
      <c r="D77" s="252"/>
      <c r="E77" s="252"/>
      <c r="F77" s="252"/>
      <c r="G77" s="270"/>
      <c r="H77" s="252"/>
      <c r="I77" s="252"/>
      <c r="J77" s="252"/>
      <c r="K77" s="252"/>
      <c r="L77" s="252"/>
      <c r="M77" s="252"/>
      <c r="N77" s="275"/>
      <c r="O77" s="252"/>
      <c r="P77" s="252"/>
    </row>
    <row r="78" spans="1:17" ht="71.25" customHeight="1">
      <c r="A78" s="281"/>
      <c r="B78" s="170"/>
      <c r="C78" s="251" t="str">
        <f t="shared" ref="C78:P78" si="27">C2</f>
        <v>9th DAA, Redwood Acres Fair</v>
      </c>
      <c r="D78" s="251" t="str">
        <f t="shared" si="27"/>
        <v>10th DAA, Siskiyou Golden Fair</v>
      </c>
      <c r="E78" s="251" t="str">
        <f t="shared" si="27"/>
        <v>12th DAA, Redwood Empire Fair</v>
      </c>
      <c r="F78" s="339" t="str">
        <f t="shared" si="27"/>
        <v>13th DAA,   Yuba Sutter Fair</v>
      </c>
      <c r="G78" s="308" t="str">
        <f t="shared" si="27"/>
        <v xml:space="preserve">18th DAA, Eastern Sierra Tri-County Fair *           </v>
      </c>
      <c r="H78" s="251" t="str">
        <f t="shared" si="27"/>
        <v>20th DAA,    Gold Country Fair</v>
      </c>
      <c r="I78" s="251" t="str">
        <f t="shared" si="27"/>
        <v>24-A DAA,    Kings Fair</v>
      </c>
      <c r="J78" s="251" t="str">
        <f t="shared" si="27"/>
        <v>26th DAA, Amador County Fair</v>
      </c>
      <c r="K78" s="251" t="str">
        <f t="shared" si="27"/>
        <v>30th DAA, Tehama District Fair</v>
      </c>
      <c r="L78" s="251" t="str">
        <f t="shared" si="27"/>
        <v>39th DAA, Calaveras County Fair</v>
      </c>
      <c r="M78" s="251" t="str">
        <f t="shared" si="27"/>
        <v>40th DAA,    Yolo County Fair</v>
      </c>
      <c r="N78" s="251" t="str">
        <f t="shared" si="27"/>
        <v>Cloverdale Citrus Fair</v>
      </c>
      <c r="O78" s="251" t="str">
        <f t="shared" si="27"/>
        <v>Merced County Spring Fair</v>
      </c>
      <c r="P78" s="251" t="str">
        <f t="shared" si="27"/>
        <v>Lodi Grape Festival &amp; Harvest Fair</v>
      </c>
    </row>
    <row r="79" spans="1:17" ht="13.5" customHeight="1">
      <c r="A79" s="255" t="s">
        <v>92</v>
      </c>
      <c r="B79" s="40"/>
      <c r="C79" s="64"/>
      <c r="D79" s="65"/>
      <c r="E79" s="65"/>
      <c r="F79" s="65"/>
      <c r="G79" s="104"/>
      <c r="H79" s="65"/>
      <c r="I79" s="65"/>
      <c r="J79" s="65"/>
      <c r="K79" s="65"/>
      <c r="L79" s="65"/>
      <c r="M79" s="65"/>
      <c r="N79" s="66"/>
      <c r="O79" s="64"/>
      <c r="P79" s="65"/>
    </row>
    <row r="80" spans="1:17" ht="13.5" customHeight="1">
      <c r="A80" s="255" t="s">
        <v>93</v>
      </c>
      <c r="B80" s="40"/>
      <c r="C80" s="64"/>
      <c r="D80" s="65"/>
      <c r="E80" s="65"/>
      <c r="F80" s="65"/>
      <c r="G80" s="104"/>
      <c r="H80" s="65"/>
      <c r="I80" s="65"/>
      <c r="J80" s="65"/>
      <c r="K80" s="65"/>
      <c r="L80" s="65"/>
      <c r="M80" s="65"/>
      <c r="N80" s="66"/>
      <c r="O80" s="64"/>
      <c r="P80" s="65"/>
    </row>
    <row r="81" spans="1:18" ht="13.5" customHeight="1">
      <c r="A81" s="260"/>
      <c r="B81" s="40" t="s">
        <v>94</v>
      </c>
      <c r="C81" s="29"/>
      <c r="D81" s="41"/>
      <c r="E81" s="41"/>
      <c r="F81" s="41"/>
      <c r="G81" s="111"/>
      <c r="H81" s="41"/>
      <c r="I81" s="41"/>
      <c r="J81" s="41"/>
      <c r="K81" s="41"/>
      <c r="L81" s="41"/>
      <c r="M81" s="41"/>
      <c r="N81" s="30"/>
      <c r="O81" s="29"/>
      <c r="P81" s="41"/>
    </row>
    <row r="82" spans="1:18" ht="13.5" customHeight="1">
      <c r="A82" s="260"/>
      <c r="B82" s="40" t="s">
        <v>95</v>
      </c>
      <c r="C82" s="23">
        <v>0</v>
      </c>
      <c r="D82" s="24">
        <v>0</v>
      </c>
      <c r="E82" s="24">
        <v>0</v>
      </c>
      <c r="F82" s="24">
        <v>0</v>
      </c>
      <c r="G82" s="202"/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5">
        <v>0</v>
      </c>
      <c r="O82" s="23">
        <v>0</v>
      </c>
      <c r="P82" s="24">
        <v>0</v>
      </c>
      <c r="R82" s="67">
        <f t="shared" ref="R82:R92" si="28">SUM(C82:M82)</f>
        <v>0</v>
      </c>
    </row>
    <row r="83" spans="1:18" ht="13.5" customHeight="1">
      <c r="A83" s="260"/>
      <c r="B83" s="40" t="s">
        <v>96</v>
      </c>
      <c r="C83" s="29">
        <v>-5334.14</v>
      </c>
      <c r="D83" s="41">
        <v>659459</v>
      </c>
      <c r="E83" s="41">
        <v>1045866</v>
      </c>
      <c r="F83" s="41">
        <v>476847.45</v>
      </c>
      <c r="G83" s="111"/>
      <c r="H83" s="41">
        <v>194595.05</v>
      </c>
      <c r="I83" s="41">
        <v>288775</v>
      </c>
      <c r="J83" s="41">
        <f>144568+24107</f>
        <v>168675</v>
      </c>
      <c r="K83" s="41">
        <v>88543</v>
      </c>
      <c r="L83" s="41">
        <f>307462+112698</f>
        <v>420160</v>
      </c>
      <c r="M83" s="41">
        <v>2342257.2799999998</v>
      </c>
      <c r="N83" s="30">
        <v>2047260</v>
      </c>
      <c r="O83" s="29">
        <v>64577</v>
      </c>
      <c r="P83" s="41">
        <f>423645+44414</f>
        <v>468059</v>
      </c>
      <c r="R83" s="67">
        <f t="shared" si="28"/>
        <v>5679843.6399999997</v>
      </c>
    </row>
    <row r="84" spans="1:18" ht="13.5" customHeight="1">
      <c r="A84" s="260"/>
      <c r="B84" s="40" t="s">
        <v>97</v>
      </c>
      <c r="C84" s="29">
        <f>16198.63+800</f>
        <v>16998.629999999997</v>
      </c>
      <c r="D84" s="41">
        <v>1604</v>
      </c>
      <c r="E84" s="41">
        <v>568</v>
      </c>
      <c r="F84" s="41">
        <v>13936.7</v>
      </c>
      <c r="G84" s="111"/>
      <c r="H84" s="41">
        <v>27162</v>
      </c>
      <c r="I84" s="41">
        <v>19502</v>
      </c>
      <c r="J84" s="41">
        <f>8616+9939</f>
        <v>18555</v>
      </c>
      <c r="K84" s="41">
        <v>3447</v>
      </c>
      <c r="L84" s="41">
        <f>33837+20992</f>
        <v>54829</v>
      </c>
      <c r="M84" s="41">
        <v>60174.96</v>
      </c>
      <c r="N84" s="30">
        <v>6033</v>
      </c>
      <c r="O84" s="29">
        <v>87524</v>
      </c>
      <c r="P84" s="41">
        <v>0</v>
      </c>
      <c r="R84" s="67">
        <f t="shared" si="28"/>
        <v>216777.29</v>
      </c>
    </row>
    <row r="85" spans="1:18" ht="13.5" customHeight="1">
      <c r="A85" s="260"/>
      <c r="B85" s="40" t="s">
        <v>98</v>
      </c>
      <c r="C85" s="29">
        <v>6402.12</v>
      </c>
      <c r="D85" s="41">
        <v>12655</v>
      </c>
      <c r="E85" s="41">
        <v>0</v>
      </c>
      <c r="F85" s="41">
        <v>0</v>
      </c>
      <c r="G85" s="111"/>
      <c r="H85" s="41">
        <v>0</v>
      </c>
      <c r="I85" s="41">
        <v>7647</v>
      </c>
      <c r="J85" s="41">
        <v>3417</v>
      </c>
      <c r="K85" s="41">
        <v>0</v>
      </c>
      <c r="L85" s="41">
        <v>6778</v>
      </c>
      <c r="M85" s="41">
        <v>0</v>
      </c>
      <c r="N85" s="30">
        <v>154748</v>
      </c>
      <c r="O85" s="29">
        <v>0</v>
      </c>
      <c r="P85" s="41">
        <v>10439</v>
      </c>
      <c r="R85" s="67">
        <f t="shared" si="28"/>
        <v>36899.119999999995</v>
      </c>
    </row>
    <row r="86" spans="1:18" ht="13.5" customHeight="1">
      <c r="A86" s="260"/>
      <c r="B86" s="40" t="s">
        <v>99</v>
      </c>
      <c r="C86" s="29">
        <v>0</v>
      </c>
      <c r="D86" s="41">
        <v>0</v>
      </c>
      <c r="E86" s="41">
        <v>0</v>
      </c>
      <c r="F86" s="41">
        <v>0</v>
      </c>
      <c r="G86" s="111"/>
      <c r="H86" s="41">
        <v>6051</v>
      </c>
      <c r="I86" s="41">
        <v>0</v>
      </c>
      <c r="J86" s="41">
        <v>0</v>
      </c>
      <c r="K86" s="41">
        <v>0</v>
      </c>
      <c r="L86" s="41">
        <v>0</v>
      </c>
      <c r="M86" s="41">
        <v>0</v>
      </c>
      <c r="N86" s="30">
        <v>0</v>
      </c>
      <c r="O86" s="29">
        <v>0</v>
      </c>
      <c r="P86" s="41">
        <v>0</v>
      </c>
      <c r="R86" s="67">
        <f t="shared" si="28"/>
        <v>6051</v>
      </c>
    </row>
    <row r="87" spans="1:18" ht="13.5" customHeight="1">
      <c r="A87" s="260"/>
      <c r="B87" s="40" t="s">
        <v>153</v>
      </c>
      <c r="C87" s="29">
        <v>21580</v>
      </c>
      <c r="D87" s="41">
        <v>0</v>
      </c>
      <c r="E87" s="41">
        <v>79924</v>
      </c>
      <c r="F87" s="41">
        <v>0</v>
      </c>
      <c r="G87" s="111"/>
      <c r="H87" s="41">
        <v>0</v>
      </c>
      <c r="I87" s="41">
        <v>0</v>
      </c>
      <c r="J87" s="41">
        <v>18230</v>
      </c>
      <c r="K87" s="41">
        <v>9798</v>
      </c>
      <c r="L87" s="41">
        <v>859</v>
      </c>
      <c r="M87" s="41">
        <v>51768.52</v>
      </c>
      <c r="N87" s="30">
        <v>0</v>
      </c>
      <c r="O87" s="29">
        <v>10269</v>
      </c>
      <c r="P87" s="41">
        <v>5045</v>
      </c>
      <c r="R87" s="20">
        <f t="shared" si="28"/>
        <v>182159.52</v>
      </c>
    </row>
    <row r="88" spans="1:18" ht="13.5" customHeight="1">
      <c r="A88" s="260"/>
      <c r="B88" s="40" t="s">
        <v>101</v>
      </c>
      <c r="C88" s="29">
        <v>64412.19</v>
      </c>
      <c r="D88" s="41">
        <v>0</v>
      </c>
      <c r="E88" s="41">
        <v>52358</v>
      </c>
      <c r="F88" s="41">
        <v>92727.72</v>
      </c>
      <c r="G88" s="111"/>
      <c r="H88" s="41">
        <v>54369.96</v>
      </c>
      <c r="I88" s="41">
        <v>45707</v>
      </c>
      <c r="J88" s="41">
        <v>9764</v>
      </c>
      <c r="K88" s="41">
        <v>5000</v>
      </c>
      <c r="L88" s="41">
        <v>71698</v>
      </c>
      <c r="M88" s="41">
        <v>174214</v>
      </c>
      <c r="N88" s="30">
        <v>27233</v>
      </c>
      <c r="O88" s="29">
        <v>448650</v>
      </c>
      <c r="P88" s="41">
        <v>88340</v>
      </c>
      <c r="R88" s="20">
        <f t="shared" si="28"/>
        <v>570250.87</v>
      </c>
    </row>
    <row r="89" spans="1:18" ht="13.5" customHeight="1">
      <c r="A89" s="260"/>
      <c r="B89" s="40" t="s">
        <v>102</v>
      </c>
      <c r="C89" s="29">
        <v>4426299.8899999997</v>
      </c>
      <c r="D89" s="41">
        <v>0</v>
      </c>
      <c r="E89" s="41">
        <v>3941401</v>
      </c>
      <c r="F89" s="41">
        <v>2734951.53</v>
      </c>
      <c r="G89" s="111"/>
      <c r="H89" s="41">
        <v>3096613.63</v>
      </c>
      <c r="I89" s="41">
        <v>2172377</v>
      </c>
      <c r="J89" s="41">
        <v>3180391</v>
      </c>
      <c r="K89" s="41">
        <v>4723624</v>
      </c>
      <c r="L89" s="41">
        <v>3414124</v>
      </c>
      <c r="M89" s="41">
        <v>3795497.75</v>
      </c>
      <c r="N89" s="30">
        <v>1338887</v>
      </c>
      <c r="O89" s="29">
        <v>2078033</v>
      </c>
      <c r="P89" s="41">
        <v>3945989</v>
      </c>
      <c r="R89" s="20">
        <f t="shared" si="28"/>
        <v>31485279.800000001</v>
      </c>
    </row>
    <row r="90" spans="1:18" ht="13.5" customHeight="1">
      <c r="A90" s="260"/>
      <c r="B90" s="40" t="s">
        <v>103</v>
      </c>
      <c r="C90" s="29">
        <v>138954.57999999999</v>
      </c>
      <c r="D90" s="41">
        <v>361461</v>
      </c>
      <c r="E90" s="41">
        <v>218645</v>
      </c>
      <c r="F90" s="41">
        <v>107026.71</v>
      </c>
      <c r="G90" s="111"/>
      <c r="H90" s="41">
        <v>271552.89</v>
      </c>
      <c r="I90" s="41">
        <v>211610</v>
      </c>
      <c r="J90" s="41">
        <v>96563</v>
      </c>
      <c r="K90" s="41">
        <v>139009</v>
      </c>
      <c r="L90" s="41">
        <v>140843</v>
      </c>
      <c r="M90" s="41">
        <v>704605.54</v>
      </c>
      <c r="N90" s="30">
        <v>201895</v>
      </c>
      <c r="O90" s="29">
        <v>206684</v>
      </c>
      <c r="P90" s="41">
        <v>345234</v>
      </c>
      <c r="R90" s="20">
        <f t="shared" si="28"/>
        <v>2390270.7199999997</v>
      </c>
    </row>
    <row r="91" spans="1:18" ht="13.5" customHeight="1">
      <c r="A91" s="260"/>
      <c r="B91" s="40" t="s">
        <v>104</v>
      </c>
      <c r="C91" s="29">
        <v>14866.2</v>
      </c>
      <c r="D91" s="41">
        <v>3401375</v>
      </c>
      <c r="E91" s="41">
        <v>0</v>
      </c>
      <c r="F91" s="41">
        <v>0</v>
      </c>
      <c r="G91" s="111"/>
      <c r="H91" s="41">
        <v>0</v>
      </c>
      <c r="I91" s="41">
        <v>0</v>
      </c>
      <c r="J91" s="41">
        <v>259429</v>
      </c>
      <c r="K91" s="41">
        <v>0</v>
      </c>
      <c r="L91" s="41">
        <v>0</v>
      </c>
      <c r="M91" s="41">
        <v>0</v>
      </c>
      <c r="N91" s="30">
        <v>11940</v>
      </c>
      <c r="O91" s="29">
        <v>0</v>
      </c>
      <c r="P91" s="41">
        <v>0</v>
      </c>
      <c r="R91" s="20">
        <f t="shared" si="28"/>
        <v>3675670.2</v>
      </c>
    </row>
    <row r="92" spans="1:18" ht="13.5" customHeight="1">
      <c r="A92" s="260"/>
      <c r="B92" s="40" t="s">
        <v>186</v>
      </c>
      <c r="C92" s="29">
        <v>0</v>
      </c>
      <c r="D92" s="41">
        <v>0</v>
      </c>
      <c r="E92" s="41">
        <v>0</v>
      </c>
      <c r="F92" s="41">
        <v>0</v>
      </c>
      <c r="G92" s="111"/>
      <c r="H92" s="41">
        <v>0</v>
      </c>
      <c r="I92" s="41">
        <v>0</v>
      </c>
      <c r="J92" s="41">
        <v>0</v>
      </c>
      <c r="K92" s="41">
        <v>0</v>
      </c>
      <c r="L92" s="41">
        <v>0</v>
      </c>
      <c r="M92" s="41">
        <v>0</v>
      </c>
      <c r="N92" s="30">
        <v>0</v>
      </c>
      <c r="O92" s="29">
        <v>0</v>
      </c>
      <c r="P92" s="41">
        <v>0</v>
      </c>
      <c r="R92" s="20">
        <f t="shared" si="28"/>
        <v>0</v>
      </c>
    </row>
    <row r="93" spans="1:18" ht="13.5" customHeight="1">
      <c r="A93" s="260"/>
      <c r="B93" s="40" t="s">
        <v>105</v>
      </c>
      <c r="C93" s="29">
        <f>-2993781.29-138954.58-14866.2</f>
        <v>-3147602.0700000003</v>
      </c>
      <c r="D93" s="41">
        <f>-361461-2714407</f>
        <v>-3075868</v>
      </c>
      <c r="E93" s="41">
        <f>-2911061-177919</f>
        <v>-3088980</v>
      </c>
      <c r="F93" s="41">
        <f>-2007603.48-107026.71</f>
        <v>-2114630.19</v>
      </c>
      <c r="G93" s="111"/>
      <c r="H93" s="41">
        <f>-2468928.43-267256.45</f>
        <v>-2736184.8800000004</v>
      </c>
      <c r="I93" s="41">
        <f>-1378351-211610</f>
        <v>-1589961</v>
      </c>
      <c r="J93" s="41">
        <f>-2222073-88010-77829</f>
        <v>-2387912</v>
      </c>
      <c r="K93" s="41">
        <f>-3362559-139009</f>
        <v>-3501568</v>
      </c>
      <c r="L93" s="41">
        <f>-2672281-140843</f>
        <v>-2813124</v>
      </c>
      <c r="M93" s="41">
        <f>-2580068.39-605854.96</f>
        <v>-3185923.35</v>
      </c>
      <c r="N93" s="30">
        <f>-854486-177017-4776</f>
        <v>-1036279</v>
      </c>
      <c r="O93" s="29">
        <f>-1875798-206684</f>
        <v>-2082482</v>
      </c>
      <c r="P93" s="41">
        <f>-2463940-326781</f>
        <v>-2790721</v>
      </c>
      <c r="R93" s="31">
        <f>SUM(C87:M93)</f>
        <v>10661877.619999999</v>
      </c>
    </row>
    <row r="94" spans="1:18" ht="13.5" customHeight="1">
      <c r="A94" s="260"/>
      <c r="B94" s="40" t="s">
        <v>106</v>
      </c>
      <c r="C94" s="29">
        <v>0</v>
      </c>
      <c r="D94" s="41">
        <v>0</v>
      </c>
      <c r="E94" s="41">
        <v>0</v>
      </c>
      <c r="F94" s="41">
        <v>0</v>
      </c>
      <c r="G94" s="111"/>
      <c r="H94" s="41">
        <v>0</v>
      </c>
      <c r="I94" s="41">
        <v>0</v>
      </c>
      <c r="J94" s="41"/>
      <c r="K94" s="41">
        <v>0</v>
      </c>
      <c r="L94" s="41">
        <v>-1</v>
      </c>
      <c r="M94" s="41">
        <v>0</v>
      </c>
      <c r="N94" s="30">
        <v>0</v>
      </c>
      <c r="O94" s="29">
        <v>0</v>
      </c>
      <c r="P94" s="41">
        <v>0</v>
      </c>
    </row>
    <row r="95" spans="1:18" s="33" customFormat="1" ht="13.5" customHeight="1">
      <c r="A95" s="268" t="s">
        <v>107</v>
      </c>
      <c r="B95" s="34"/>
      <c r="C95" s="35">
        <f>SUM(C81:C94)</f>
        <v>1536577.3999999994</v>
      </c>
      <c r="D95" s="35">
        <f t="shared" ref="D95:P95" si="29">SUM(D81:D94)</f>
        <v>1360686</v>
      </c>
      <c r="E95" s="35">
        <f t="shared" si="29"/>
        <v>2249782</v>
      </c>
      <c r="F95" s="35">
        <f t="shared" ref="F95" si="30">SUM(F81:F94)</f>
        <v>1310859.92</v>
      </c>
      <c r="G95" s="111"/>
      <c r="H95" s="35">
        <f t="shared" si="29"/>
        <v>914159.64999999944</v>
      </c>
      <c r="I95" s="35">
        <f t="shared" si="29"/>
        <v>1155657</v>
      </c>
      <c r="J95" s="35">
        <f t="shared" si="29"/>
        <v>1367112</v>
      </c>
      <c r="K95" s="35">
        <f t="shared" si="29"/>
        <v>1467853</v>
      </c>
      <c r="L95" s="35">
        <f t="shared" si="29"/>
        <v>1296166</v>
      </c>
      <c r="M95" s="35">
        <f t="shared" si="29"/>
        <v>3942594.6999999997</v>
      </c>
      <c r="N95" s="35">
        <f t="shared" si="29"/>
        <v>2751717</v>
      </c>
      <c r="O95" s="35">
        <f t="shared" si="29"/>
        <v>813255</v>
      </c>
      <c r="P95" s="35">
        <f t="shared" si="29"/>
        <v>2072385</v>
      </c>
      <c r="R95" s="226">
        <f>SUM(C95:M95)</f>
        <v>16601447.669999998</v>
      </c>
    </row>
    <row r="96" spans="1:18" s="33" customFormat="1" ht="13.5" customHeight="1">
      <c r="A96" s="268" t="s">
        <v>215</v>
      </c>
      <c r="B96" s="34"/>
      <c r="C96" s="35">
        <v>75409.59</v>
      </c>
      <c r="D96" s="35">
        <v>73713</v>
      </c>
      <c r="E96" s="35">
        <v>85009</v>
      </c>
      <c r="F96" s="35">
        <v>73349</v>
      </c>
      <c r="G96" s="111"/>
      <c r="H96" s="35">
        <v>10327</v>
      </c>
      <c r="I96" s="35">
        <v>27554</v>
      </c>
      <c r="J96" s="35">
        <v>34353</v>
      </c>
      <c r="K96" s="35">
        <v>31524</v>
      </c>
      <c r="L96" s="35">
        <v>50711</v>
      </c>
      <c r="M96" s="35">
        <v>108996.58</v>
      </c>
      <c r="N96" s="35">
        <v>0</v>
      </c>
      <c r="O96" s="35">
        <v>0</v>
      </c>
      <c r="P96" s="35">
        <v>0</v>
      </c>
      <c r="R96" s="226">
        <f>SUM(C96:M96)</f>
        <v>570946.16999999993</v>
      </c>
    </row>
    <row r="97" spans="1:18" s="56" customFormat="1" ht="13.5" customHeight="1">
      <c r="A97" s="263" t="s">
        <v>212</v>
      </c>
      <c r="B97" s="224"/>
      <c r="C97" s="225">
        <f>+C95+C96</f>
        <v>1611986.9899999995</v>
      </c>
      <c r="D97" s="225">
        <f t="shared" ref="D97:O97" si="31">+D95+D96</f>
        <v>1434399</v>
      </c>
      <c r="E97" s="225">
        <f t="shared" si="31"/>
        <v>2334791</v>
      </c>
      <c r="F97" s="225">
        <f t="shared" ref="F97" si="32">+F95+F96</f>
        <v>1384208.92</v>
      </c>
      <c r="G97" s="109"/>
      <c r="H97" s="225">
        <f t="shared" si="31"/>
        <v>924486.64999999944</v>
      </c>
      <c r="I97" s="225">
        <f t="shared" si="31"/>
        <v>1183211</v>
      </c>
      <c r="J97" s="225">
        <f t="shared" si="31"/>
        <v>1401465</v>
      </c>
      <c r="K97" s="225">
        <f t="shared" si="31"/>
        <v>1499377</v>
      </c>
      <c r="L97" s="225">
        <f t="shared" si="31"/>
        <v>1346877</v>
      </c>
      <c r="M97" s="225">
        <f t="shared" si="31"/>
        <v>4051591.28</v>
      </c>
      <c r="N97" s="225">
        <f t="shared" si="31"/>
        <v>2751717</v>
      </c>
      <c r="O97" s="225">
        <f t="shared" si="31"/>
        <v>813255</v>
      </c>
      <c r="P97" s="225">
        <f>+P95+P96</f>
        <v>2072385</v>
      </c>
      <c r="R97" s="226">
        <f>SUM(C97:M97)</f>
        <v>17172393.84</v>
      </c>
    </row>
    <row r="98" spans="1:18" ht="13.5" customHeight="1">
      <c r="A98" s="255" t="s">
        <v>213</v>
      </c>
      <c r="B98" s="40"/>
      <c r="C98" s="64"/>
      <c r="D98" s="65"/>
      <c r="E98" s="65"/>
      <c r="F98" s="65"/>
      <c r="G98" s="104"/>
      <c r="H98" s="65"/>
      <c r="I98" s="65"/>
      <c r="J98" s="65"/>
      <c r="K98" s="65"/>
      <c r="L98" s="65"/>
      <c r="M98" s="65"/>
      <c r="N98" s="66"/>
      <c r="O98" s="64"/>
      <c r="P98" s="65"/>
    </row>
    <row r="99" spans="1:18" ht="13.5" customHeight="1">
      <c r="A99" s="260"/>
      <c r="B99" s="40" t="s">
        <v>108</v>
      </c>
      <c r="C99" s="29">
        <v>0</v>
      </c>
      <c r="D99" s="41">
        <v>0</v>
      </c>
      <c r="E99" s="41">
        <v>0</v>
      </c>
      <c r="F99" s="41">
        <v>0</v>
      </c>
      <c r="G99" s="205"/>
      <c r="H99" s="41">
        <v>0</v>
      </c>
      <c r="I99" s="41">
        <v>0</v>
      </c>
      <c r="J99" s="41">
        <v>100</v>
      </c>
      <c r="K99" s="41">
        <v>0</v>
      </c>
      <c r="L99" s="41">
        <v>0</v>
      </c>
      <c r="M99" s="41">
        <v>0</v>
      </c>
      <c r="N99" s="30">
        <v>115</v>
      </c>
      <c r="O99" s="29">
        <v>0</v>
      </c>
      <c r="P99" s="41">
        <v>0</v>
      </c>
      <c r="R99" s="67">
        <f t="shared" ref="R99:R119" si="33">SUM(C99:M99)</f>
        <v>100</v>
      </c>
    </row>
    <row r="100" spans="1:18" ht="13.5" customHeight="1">
      <c r="A100" s="260"/>
      <c r="B100" s="40" t="s">
        <v>109</v>
      </c>
      <c r="C100" s="29">
        <v>103792.53</v>
      </c>
      <c r="D100" s="41">
        <v>5018</v>
      </c>
      <c r="E100" s="41">
        <v>21366</v>
      </c>
      <c r="F100" s="41">
        <v>20381.919999999998</v>
      </c>
      <c r="G100" s="111"/>
      <c r="H100" s="126">
        <v>14057</v>
      </c>
      <c r="I100" s="41">
        <v>58291</v>
      </c>
      <c r="J100" s="41">
        <f>35338+8900</f>
        <v>44238</v>
      </c>
      <c r="K100" s="41">
        <v>25565</v>
      </c>
      <c r="L100" s="41">
        <f>13828+259</f>
        <v>14087</v>
      </c>
      <c r="M100" s="41">
        <v>33970.78</v>
      </c>
      <c r="N100" s="30">
        <v>12803</v>
      </c>
      <c r="O100" s="29">
        <v>0</v>
      </c>
      <c r="P100" s="41">
        <v>0</v>
      </c>
      <c r="R100" s="67">
        <f t="shared" si="33"/>
        <v>340767.23</v>
      </c>
    </row>
    <row r="101" spans="1:18" ht="13.5" customHeight="1">
      <c r="A101" s="260"/>
      <c r="B101" s="40" t="s">
        <v>110</v>
      </c>
      <c r="C101" s="29">
        <v>3161.53</v>
      </c>
      <c r="D101" s="41">
        <v>151</v>
      </c>
      <c r="E101" s="41">
        <v>-4687</v>
      </c>
      <c r="F101" s="41">
        <v>3946.1800000000003</v>
      </c>
      <c r="G101" s="113"/>
      <c r="H101" s="41">
        <v>0</v>
      </c>
      <c r="I101" s="41">
        <v>0</v>
      </c>
      <c r="J101" s="41">
        <v>3636</v>
      </c>
      <c r="K101" s="41">
        <v>496</v>
      </c>
      <c r="L101" s="41">
        <v>2088</v>
      </c>
      <c r="M101" s="41">
        <v>26521.74</v>
      </c>
      <c r="N101" s="30">
        <v>0</v>
      </c>
      <c r="O101" s="29">
        <v>0</v>
      </c>
      <c r="P101" s="41">
        <v>0</v>
      </c>
      <c r="R101" s="67">
        <f t="shared" si="33"/>
        <v>35313.450000000004</v>
      </c>
    </row>
    <row r="102" spans="1:18" ht="13.5" customHeight="1">
      <c r="A102" s="260"/>
      <c r="B102" s="40" t="s">
        <v>111</v>
      </c>
      <c r="C102" s="29">
        <v>2605</v>
      </c>
      <c r="D102" s="41">
        <v>29590</v>
      </c>
      <c r="E102" s="41">
        <v>185798</v>
      </c>
      <c r="F102" s="41">
        <v>28069</v>
      </c>
      <c r="G102" s="111"/>
      <c r="H102" s="41">
        <v>0</v>
      </c>
      <c r="I102" s="41">
        <v>8082</v>
      </c>
      <c r="J102" s="41">
        <v>15742</v>
      </c>
      <c r="K102" s="41">
        <v>0</v>
      </c>
      <c r="L102" s="41">
        <v>22115</v>
      </c>
      <c r="M102" s="41">
        <v>0</v>
      </c>
      <c r="N102" s="30">
        <v>541750</v>
      </c>
      <c r="O102" s="29">
        <v>0</v>
      </c>
      <c r="P102" s="41">
        <v>37623</v>
      </c>
      <c r="R102" s="67">
        <f t="shared" si="33"/>
        <v>292001</v>
      </c>
    </row>
    <row r="103" spans="1:18" ht="13.5" customHeight="1">
      <c r="A103" s="260"/>
      <c r="B103" s="40" t="s">
        <v>112</v>
      </c>
      <c r="C103" s="29">
        <v>0</v>
      </c>
      <c r="D103" s="41">
        <v>32954</v>
      </c>
      <c r="E103" s="41">
        <v>8140</v>
      </c>
      <c r="F103" s="41">
        <v>0</v>
      </c>
      <c r="G103" s="111"/>
      <c r="H103" s="41">
        <v>31575</v>
      </c>
      <c r="I103" s="41">
        <v>0</v>
      </c>
      <c r="J103" s="41">
        <v>0</v>
      </c>
      <c r="K103" s="41">
        <v>5125</v>
      </c>
      <c r="L103" s="41">
        <v>0</v>
      </c>
      <c r="M103" s="41">
        <f>5856.22-10536.05</f>
        <v>-4679.829999999999</v>
      </c>
      <c r="N103" s="30">
        <v>0</v>
      </c>
      <c r="O103" s="29">
        <v>0</v>
      </c>
      <c r="P103" s="41">
        <v>26907</v>
      </c>
      <c r="R103" s="67">
        <f t="shared" si="33"/>
        <v>73114.17</v>
      </c>
    </row>
    <row r="104" spans="1:18" ht="13.5" customHeight="1">
      <c r="A104" s="260"/>
      <c r="B104" s="40" t="s">
        <v>113</v>
      </c>
      <c r="C104" s="29">
        <v>14995</v>
      </c>
      <c r="D104" s="41">
        <v>0</v>
      </c>
      <c r="E104" s="41">
        <v>17300</v>
      </c>
      <c r="F104" s="41">
        <v>10042</v>
      </c>
      <c r="G104" s="111"/>
      <c r="H104" s="41">
        <v>15661</v>
      </c>
      <c r="I104" s="41">
        <v>4200</v>
      </c>
      <c r="J104" s="41">
        <v>1200</v>
      </c>
      <c r="K104" s="41">
        <v>-2200</v>
      </c>
      <c r="L104" s="41">
        <v>2000</v>
      </c>
      <c r="M104" s="41">
        <v>13450</v>
      </c>
      <c r="N104" s="30">
        <v>7800</v>
      </c>
      <c r="O104" s="29">
        <v>0</v>
      </c>
      <c r="P104" s="41">
        <v>0</v>
      </c>
      <c r="R104" s="67">
        <f t="shared" si="33"/>
        <v>76648</v>
      </c>
    </row>
    <row r="105" spans="1:18" ht="13.5" customHeight="1">
      <c r="A105" s="260"/>
      <c r="B105" s="40" t="s">
        <v>114</v>
      </c>
      <c r="C105" s="29">
        <v>45484.49</v>
      </c>
      <c r="D105" s="41">
        <v>41898</v>
      </c>
      <c r="E105" s="41">
        <v>29580</v>
      </c>
      <c r="F105" s="41">
        <v>42056.79</v>
      </c>
      <c r="G105" s="111"/>
      <c r="H105" s="41">
        <v>0</v>
      </c>
      <c r="I105" s="41">
        <v>0</v>
      </c>
      <c r="J105" s="41">
        <v>21542</v>
      </c>
      <c r="K105" s="41">
        <v>0</v>
      </c>
      <c r="L105" s="41">
        <v>17238</v>
      </c>
      <c r="M105" s="41">
        <v>73018.95</v>
      </c>
      <c r="N105" s="30">
        <v>4693</v>
      </c>
      <c r="O105" s="29">
        <v>0</v>
      </c>
      <c r="P105" s="41">
        <v>0</v>
      </c>
      <c r="R105" s="67">
        <f t="shared" si="33"/>
        <v>270818.23</v>
      </c>
    </row>
    <row r="106" spans="1:18" ht="13.5" customHeight="1">
      <c r="A106" s="260"/>
      <c r="B106" s="40" t="s">
        <v>115</v>
      </c>
      <c r="C106" s="29">
        <v>17182.3</v>
      </c>
      <c r="D106" s="41">
        <v>44848</v>
      </c>
      <c r="E106" s="41">
        <v>0</v>
      </c>
      <c r="F106" s="41">
        <v>0</v>
      </c>
      <c r="G106" s="111"/>
      <c r="H106" s="41">
        <v>0</v>
      </c>
      <c r="I106" s="41">
        <v>0</v>
      </c>
      <c r="J106" s="41">
        <v>42109</v>
      </c>
      <c r="K106" s="41">
        <v>140725</v>
      </c>
      <c r="L106" s="41">
        <v>0</v>
      </c>
      <c r="M106" s="41">
        <v>15999.73</v>
      </c>
      <c r="N106" s="30">
        <v>8358</v>
      </c>
      <c r="O106" s="29">
        <v>123000</v>
      </c>
      <c r="P106" s="41">
        <v>23500</v>
      </c>
      <c r="R106" s="67">
        <f t="shared" si="33"/>
        <v>260864.03</v>
      </c>
    </row>
    <row r="107" spans="1:18" ht="13.5" customHeight="1">
      <c r="A107" s="260"/>
      <c r="B107" s="40" t="s">
        <v>218</v>
      </c>
      <c r="C107" s="29">
        <v>472266</v>
      </c>
      <c r="D107" s="41">
        <v>527609</v>
      </c>
      <c r="E107" s="41">
        <v>634879</v>
      </c>
      <c r="F107" s="41">
        <v>386483</v>
      </c>
      <c r="G107" s="111"/>
      <c r="H107" s="41">
        <v>72701</v>
      </c>
      <c r="I107" s="41">
        <v>361326</v>
      </c>
      <c r="J107" s="41">
        <v>272685</v>
      </c>
      <c r="K107" s="41">
        <v>458375</v>
      </c>
      <c r="L107" s="41">
        <v>238279</v>
      </c>
      <c r="M107" s="41">
        <v>639138</v>
      </c>
      <c r="N107" s="30">
        <v>0</v>
      </c>
      <c r="O107" s="29">
        <v>0</v>
      </c>
      <c r="P107" s="41">
        <v>0</v>
      </c>
      <c r="R107" s="67">
        <f t="shared" si="33"/>
        <v>4063741</v>
      </c>
    </row>
    <row r="108" spans="1:18" s="33" customFormat="1" ht="13.5" customHeight="1">
      <c r="A108" s="268" t="s">
        <v>217</v>
      </c>
      <c r="B108" s="34"/>
      <c r="C108" s="35">
        <f>SUM(C99:C107)</f>
        <v>659486.85</v>
      </c>
      <c r="D108" s="35">
        <f>SUM(D99:D107)</f>
        <v>682068</v>
      </c>
      <c r="E108" s="35">
        <f t="shared" ref="E108:O108" si="34">SUM(E99:E107)</f>
        <v>892376</v>
      </c>
      <c r="F108" s="35">
        <f t="shared" ref="F108" si="35">SUM(F99:F107)</f>
        <v>490978.89</v>
      </c>
      <c r="G108" s="111"/>
      <c r="H108" s="35">
        <f t="shared" si="34"/>
        <v>133994</v>
      </c>
      <c r="I108" s="35">
        <f t="shared" si="34"/>
        <v>431899</v>
      </c>
      <c r="J108" s="35">
        <f t="shared" si="34"/>
        <v>401252</v>
      </c>
      <c r="K108" s="35">
        <f t="shared" si="34"/>
        <v>628086</v>
      </c>
      <c r="L108" s="35">
        <f t="shared" si="34"/>
        <v>295807</v>
      </c>
      <c r="M108" s="35">
        <f t="shared" si="34"/>
        <v>797419.37</v>
      </c>
      <c r="N108" s="35">
        <f t="shared" si="34"/>
        <v>575519</v>
      </c>
      <c r="O108" s="35">
        <f t="shared" si="34"/>
        <v>123000</v>
      </c>
      <c r="P108" s="35">
        <f>SUM(P99:P107)</f>
        <v>88030</v>
      </c>
      <c r="R108" s="67">
        <f t="shared" si="33"/>
        <v>5413367.1100000003</v>
      </c>
    </row>
    <row r="109" spans="1:18" s="33" customFormat="1" ht="13.5" customHeight="1">
      <c r="A109" s="268" t="s">
        <v>216</v>
      </c>
      <c r="B109" s="34"/>
      <c r="C109" s="35">
        <v>-2997</v>
      </c>
      <c r="D109" s="35">
        <v>14920</v>
      </c>
      <c r="E109" s="35">
        <v>15806</v>
      </c>
      <c r="F109" s="35">
        <v>-7536</v>
      </c>
      <c r="G109" s="111"/>
      <c r="H109" s="35">
        <v>-66994</v>
      </c>
      <c r="I109" s="35">
        <v>27198</v>
      </c>
      <c r="J109" s="35">
        <v>13776</v>
      </c>
      <c r="K109" s="35">
        <v>33812</v>
      </c>
      <c r="L109" s="35">
        <v>-6896</v>
      </c>
      <c r="M109" s="35">
        <v>4995</v>
      </c>
      <c r="N109" s="35">
        <v>0</v>
      </c>
      <c r="O109" s="35">
        <v>0</v>
      </c>
      <c r="P109" s="35">
        <v>0</v>
      </c>
      <c r="R109" s="67">
        <f t="shared" si="33"/>
        <v>26084</v>
      </c>
    </row>
    <row r="110" spans="1:18" s="56" customFormat="1" ht="13.5" customHeight="1">
      <c r="A110" s="263" t="s">
        <v>214</v>
      </c>
      <c r="B110" s="224"/>
      <c r="C110" s="225">
        <f>+C108+C109</f>
        <v>656489.85</v>
      </c>
      <c r="D110" s="225">
        <f t="shared" ref="D110:O110" si="36">+D108+D109</f>
        <v>696988</v>
      </c>
      <c r="E110" s="225">
        <f t="shared" si="36"/>
        <v>908182</v>
      </c>
      <c r="F110" s="225">
        <f t="shared" ref="F110" si="37">+F108+F109</f>
        <v>483442.89</v>
      </c>
      <c r="G110" s="109"/>
      <c r="H110" s="225">
        <f t="shared" si="36"/>
        <v>67000</v>
      </c>
      <c r="I110" s="225">
        <f t="shared" si="36"/>
        <v>459097</v>
      </c>
      <c r="J110" s="225">
        <f t="shared" si="36"/>
        <v>415028</v>
      </c>
      <c r="K110" s="225">
        <f t="shared" si="36"/>
        <v>661898</v>
      </c>
      <c r="L110" s="225">
        <f t="shared" si="36"/>
        <v>288911</v>
      </c>
      <c r="M110" s="225">
        <f t="shared" si="36"/>
        <v>802414.37</v>
      </c>
      <c r="N110" s="225">
        <f t="shared" si="36"/>
        <v>575519</v>
      </c>
      <c r="O110" s="225">
        <f t="shared" si="36"/>
        <v>123000</v>
      </c>
      <c r="P110" s="282">
        <f>+P108+P109</f>
        <v>88030</v>
      </c>
      <c r="R110" s="226">
        <f t="shared" si="33"/>
        <v>5439451.1100000003</v>
      </c>
    </row>
    <row r="111" spans="1:18" ht="13.5" customHeight="1">
      <c r="A111" s="255" t="s">
        <v>116</v>
      </c>
      <c r="B111" s="40"/>
      <c r="C111" s="64"/>
      <c r="D111" s="65"/>
      <c r="E111" s="65"/>
      <c r="F111" s="65"/>
      <c r="G111" s="104"/>
      <c r="H111" s="65"/>
      <c r="I111" s="65"/>
      <c r="J111" s="65"/>
      <c r="K111" s="65"/>
      <c r="L111" s="65"/>
      <c r="M111" s="65"/>
      <c r="N111" s="66"/>
      <c r="O111" s="64"/>
      <c r="P111" s="65"/>
      <c r="R111" s="67">
        <f t="shared" si="33"/>
        <v>0</v>
      </c>
    </row>
    <row r="112" spans="1:18" ht="13.5" customHeight="1">
      <c r="A112" s="260"/>
      <c r="B112" s="40" t="s">
        <v>117</v>
      </c>
      <c r="C112" s="29">
        <v>33645</v>
      </c>
      <c r="D112" s="41">
        <v>0</v>
      </c>
      <c r="E112" s="41">
        <v>127978</v>
      </c>
      <c r="F112" s="41">
        <v>53608</v>
      </c>
      <c r="G112" s="111"/>
      <c r="H112" s="41">
        <v>41298</v>
      </c>
      <c r="I112" s="41">
        <v>125004</v>
      </c>
      <c r="J112" s="41">
        <v>-6249</v>
      </c>
      <c r="K112" s="41">
        <v>0</v>
      </c>
      <c r="L112" s="41">
        <v>112087</v>
      </c>
      <c r="M112" s="41">
        <v>1500</v>
      </c>
      <c r="N112" s="30">
        <v>0</v>
      </c>
      <c r="O112" s="29">
        <v>-15211</v>
      </c>
      <c r="P112" s="41"/>
      <c r="R112" s="67">
        <f t="shared" si="33"/>
        <v>488871</v>
      </c>
    </row>
    <row r="113" spans="1:18" ht="13.5" customHeight="1">
      <c r="A113" s="260"/>
      <c r="B113" s="40" t="s">
        <v>42</v>
      </c>
      <c r="C113" s="29">
        <f>C60</f>
        <v>-200943</v>
      </c>
      <c r="D113" s="29">
        <f t="shared" ref="D113:P113" si="38">D60</f>
        <v>519260</v>
      </c>
      <c r="E113" s="29">
        <f t="shared" si="38"/>
        <v>660960</v>
      </c>
      <c r="F113" s="29">
        <f t="shared" ref="F113" si="39">F60</f>
        <v>332680.26</v>
      </c>
      <c r="G113" s="111"/>
      <c r="H113" s="29">
        <f t="shared" si="38"/>
        <v>129836</v>
      </c>
      <c r="I113" s="29">
        <f t="shared" si="38"/>
        <v>120347</v>
      </c>
      <c r="J113" s="29">
        <f t="shared" si="38"/>
        <v>110439</v>
      </c>
      <c r="K113" s="29">
        <f t="shared" si="38"/>
        <v>62552</v>
      </c>
      <c r="L113" s="29">
        <f t="shared" si="38"/>
        <v>312151</v>
      </c>
      <c r="M113" s="29">
        <f t="shared" si="38"/>
        <v>2332480</v>
      </c>
      <c r="N113" s="29">
        <f t="shared" si="38"/>
        <v>1632522</v>
      </c>
      <c r="O113" s="29">
        <f t="shared" si="38"/>
        <v>44312</v>
      </c>
      <c r="P113" s="29">
        <f t="shared" si="38"/>
        <v>413967</v>
      </c>
      <c r="R113" s="67">
        <f t="shared" si="33"/>
        <v>4379762.26</v>
      </c>
    </row>
    <row r="114" spans="1:18" ht="13.5" customHeight="1">
      <c r="A114" s="260"/>
      <c r="B114" s="40" t="s">
        <v>220</v>
      </c>
      <c r="C114" s="29">
        <f>C61</f>
        <v>-393859</v>
      </c>
      <c r="D114" s="29">
        <f>D61</f>
        <v>-468816</v>
      </c>
      <c r="E114" s="29">
        <f t="shared" ref="E114:P114" si="40">E61</f>
        <v>-565676</v>
      </c>
      <c r="F114" s="29">
        <f t="shared" ref="F114" si="41">F61</f>
        <v>-305598</v>
      </c>
      <c r="G114" s="111"/>
      <c r="H114" s="29">
        <f t="shared" si="40"/>
        <v>0</v>
      </c>
      <c r="I114" s="29">
        <f t="shared" si="40"/>
        <v>-360971</v>
      </c>
      <c r="J114" s="29">
        <f t="shared" si="40"/>
        <v>-252108</v>
      </c>
      <c r="K114" s="29">
        <f t="shared" si="40"/>
        <v>-460663</v>
      </c>
      <c r="L114" s="29">
        <f t="shared" si="40"/>
        <v>-180672</v>
      </c>
      <c r="M114" s="29">
        <f t="shared" si="40"/>
        <v>-608965</v>
      </c>
      <c r="N114" s="29">
        <f t="shared" si="40"/>
        <v>0</v>
      </c>
      <c r="O114" s="29">
        <f t="shared" si="40"/>
        <v>0</v>
      </c>
      <c r="P114" s="29">
        <f t="shared" si="40"/>
        <v>0</v>
      </c>
      <c r="R114" s="67">
        <f t="shared" si="33"/>
        <v>-3597328</v>
      </c>
    </row>
    <row r="115" spans="1:18" ht="13.5" customHeight="1">
      <c r="A115" s="260"/>
      <c r="B115" s="40" t="s">
        <v>43</v>
      </c>
      <c r="C115" s="29">
        <f>C62</f>
        <v>0</v>
      </c>
      <c r="D115" s="29">
        <f t="shared" ref="D115:P115" si="42">D62</f>
        <v>0</v>
      </c>
      <c r="E115" s="29">
        <f t="shared" si="42"/>
        <v>0</v>
      </c>
      <c r="F115" s="29">
        <f t="shared" ref="F115" si="43">F62</f>
        <v>0</v>
      </c>
      <c r="G115" s="111"/>
      <c r="H115" s="29">
        <f t="shared" si="42"/>
        <v>0</v>
      </c>
      <c r="I115" s="29">
        <f t="shared" si="42"/>
        <v>0</v>
      </c>
      <c r="J115" s="29">
        <f t="shared" si="42"/>
        <v>0</v>
      </c>
      <c r="K115" s="29">
        <f t="shared" si="42"/>
        <v>0</v>
      </c>
      <c r="L115" s="29">
        <f t="shared" si="42"/>
        <v>0</v>
      </c>
      <c r="M115" s="29">
        <f t="shared" si="42"/>
        <v>0</v>
      </c>
      <c r="N115" s="29">
        <f t="shared" si="42"/>
        <v>0</v>
      </c>
      <c r="O115" s="29">
        <f t="shared" si="42"/>
        <v>0</v>
      </c>
      <c r="P115" s="29">
        <f t="shared" si="42"/>
        <v>0</v>
      </c>
      <c r="R115" s="67">
        <f t="shared" si="33"/>
        <v>0</v>
      </c>
    </row>
    <row r="116" spans="1:18" ht="13.5" customHeight="1">
      <c r="A116" s="260"/>
      <c r="B116" s="40" t="s">
        <v>118</v>
      </c>
      <c r="C116" s="29">
        <f>C63</f>
        <v>1516653</v>
      </c>
      <c r="D116" s="29">
        <f t="shared" ref="D116:P116" si="44">D63</f>
        <v>686967</v>
      </c>
      <c r="E116" s="29">
        <f t="shared" si="44"/>
        <v>1203347</v>
      </c>
      <c r="F116" s="29">
        <f t="shared" ref="F116" si="45">F63</f>
        <v>820075.77</v>
      </c>
      <c r="G116" s="111"/>
      <c r="H116" s="29">
        <f t="shared" si="44"/>
        <v>686352</v>
      </c>
      <c r="I116" s="29">
        <f t="shared" si="44"/>
        <v>839733</v>
      </c>
      <c r="J116" s="29">
        <f t="shared" si="44"/>
        <v>1134357</v>
      </c>
      <c r="K116" s="29">
        <f t="shared" si="44"/>
        <v>1235591</v>
      </c>
      <c r="L116" s="29">
        <f t="shared" si="44"/>
        <v>814400</v>
      </c>
      <c r="M116" s="29">
        <f t="shared" si="44"/>
        <v>1524162</v>
      </c>
      <c r="N116" s="29">
        <f t="shared" si="44"/>
        <v>543676</v>
      </c>
      <c r="O116" s="29">
        <f t="shared" si="44"/>
        <v>661154</v>
      </c>
      <c r="P116" s="29">
        <f t="shared" si="44"/>
        <v>1570387</v>
      </c>
      <c r="R116" s="67">
        <f t="shared" si="33"/>
        <v>10461637.77</v>
      </c>
    </row>
    <row r="117" spans="1:18" ht="13.5" customHeight="1">
      <c r="A117" s="269"/>
      <c r="B117" s="71" t="s">
        <v>106</v>
      </c>
      <c r="C117" s="72"/>
      <c r="D117" s="73"/>
      <c r="E117" s="73"/>
      <c r="F117" s="73"/>
      <c r="G117" s="111"/>
      <c r="H117" s="73">
        <v>0</v>
      </c>
      <c r="I117" s="73"/>
      <c r="J117" s="73"/>
      <c r="K117" s="73"/>
      <c r="L117" s="73"/>
      <c r="M117" s="73"/>
      <c r="N117" s="74"/>
      <c r="O117" s="72"/>
      <c r="P117" s="73"/>
      <c r="R117" s="67">
        <f>SUM(C117:P117)</f>
        <v>0</v>
      </c>
    </row>
    <row r="118" spans="1:18" s="33" customFormat="1" ht="13.5" customHeight="1">
      <c r="A118" s="268" t="s">
        <v>46</v>
      </c>
      <c r="B118" s="75"/>
      <c r="C118" s="76">
        <f>SUM(C112:C117)</f>
        <v>955496</v>
      </c>
      <c r="D118" s="76">
        <f t="shared" ref="D118:P118" si="46">SUM(D112:D117)</f>
        <v>737411</v>
      </c>
      <c r="E118" s="76">
        <f t="shared" si="46"/>
        <v>1426609</v>
      </c>
      <c r="F118" s="76">
        <f t="shared" ref="F118" si="47">SUM(F112:F117)</f>
        <v>900766.03</v>
      </c>
      <c r="G118" s="205"/>
      <c r="H118" s="76">
        <f t="shared" si="46"/>
        <v>857486</v>
      </c>
      <c r="I118" s="76">
        <f t="shared" si="46"/>
        <v>724113</v>
      </c>
      <c r="J118" s="76">
        <f t="shared" si="46"/>
        <v>986439</v>
      </c>
      <c r="K118" s="76">
        <f t="shared" si="46"/>
        <v>837480</v>
      </c>
      <c r="L118" s="76">
        <f t="shared" si="46"/>
        <v>1057966</v>
      </c>
      <c r="M118" s="76">
        <f t="shared" si="46"/>
        <v>3249177</v>
      </c>
      <c r="N118" s="76">
        <f t="shared" ref="N118" si="48">SUM(N112:N117)</f>
        <v>2176198</v>
      </c>
      <c r="O118" s="76">
        <f t="shared" si="46"/>
        <v>690255</v>
      </c>
      <c r="P118" s="76">
        <f t="shared" si="46"/>
        <v>1984354</v>
      </c>
      <c r="R118" s="69">
        <f t="shared" si="33"/>
        <v>11732943.030000001</v>
      </c>
    </row>
    <row r="119" spans="1:18" s="56" customFormat="1">
      <c r="A119" s="263" t="s">
        <v>219</v>
      </c>
      <c r="B119" s="224"/>
      <c r="C119" s="225">
        <f>SUM(C110:C117)</f>
        <v>1611985.85</v>
      </c>
      <c r="D119" s="225">
        <f>SUM(D110:D117)</f>
        <v>1434399</v>
      </c>
      <c r="E119" s="225">
        <f t="shared" ref="E119:P119" si="49">SUM(E110:E117)</f>
        <v>2334791</v>
      </c>
      <c r="F119" s="225">
        <f t="shared" ref="F119" si="50">SUM(F110:F117)</f>
        <v>1384208.92</v>
      </c>
      <c r="G119" s="109"/>
      <c r="H119" s="225">
        <f>SUM(H110:H117)</f>
        <v>924486</v>
      </c>
      <c r="I119" s="225">
        <f t="shared" si="49"/>
        <v>1183210</v>
      </c>
      <c r="J119" s="225">
        <f t="shared" si="49"/>
        <v>1401467</v>
      </c>
      <c r="K119" s="225">
        <f t="shared" si="49"/>
        <v>1499378</v>
      </c>
      <c r="L119" s="225">
        <f t="shared" si="49"/>
        <v>1346877</v>
      </c>
      <c r="M119" s="225">
        <f t="shared" si="49"/>
        <v>4051591.37</v>
      </c>
      <c r="N119" s="225">
        <f t="shared" ref="N119" si="51">SUM(N110:N117)</f>
        <v>2751717</v>
      </c>
      <c r="O119" s="225">
        <f t="shared" si="49"/>
        <v>813255</v>
      </c>
      <c r="P119" s="225">
        <f t="shared" si="49"/>
        <v>2072384</v>
      </c>
      <c r="R119" s="226">
        <f t="shared" si="33"/>
        <v>17172394.140000001</v>
      </c>
    </row>
    <row r="120" spans="1:18" hidden="1">
      <c r="B120" s="20" t="s">
        <v>154</v>
      </c>
      <c r="C120" s="96">
        <f t="shared" ref="C120:P120" si="52">+C97-C119</f>
        <v>1.1399999994318932</v>
      </c>
      <c r="D120" s="96">
        <f t="shared" si="52"/>
        <v>0</v>
      </c>
      <c r="E120" s="96">
        <f>+E97-E119</f>
        <v>0</v>
      </c>
      <c r="F120" s="96">
        <f>+F97-F119</f>
        <v>0</v>
      </c>
      <c r="G120" s="123">
        <f t="shared" si="52"/>
        <v>0</v>
      </c>
      <c r="H120" s="127">
        <f t="shared" si="52"/>
        <v>0.64999999944120646</v>
      </c>
      <c r="I120" s="96">
        <f t="shared" si="52"/>
        <v>1</v>
      </c>
      <c r="J120" s="96">
        <f>+J97-J119</f>
        <v>-2</v>
      </c>
      <c r="K120" s="96">
        <f t="shared" si="52"/>
        <v>-1</v>
      </c>
      <c r="L120" s="96">
        <f t="shared" si="52"/>
        <v>0</v>
      </c>
      <c r="M120" s="96">
        <f t="shared" si="52"/>
        <v>-9.0000000316649675E-2</v>
      </c>
      <c r="N120" s="122">
        <f t="shared" si="52"/>
        <v>0</v>
      </c>
      <c r="O120" s="96">
        <f t="shared" si="52"/>
        <v>0</v>
      </c>
      <c r="P120" s="96">
        <f t="shared" si="52"/>
        <v>1</v>
      </c>
    </row>
    <row r="121" spans="1:18" ht="12.75" customHeight="1">
      <c r="C121" s="96"/>
      <c r="D121" s="96"/>
      <c r="E121" s="96"/>
      <c r="F121" s="96"/>
      <c r="G121" s="123"/>
      <c r="H121" s="96"/>
      <c r="I121" s="96"/>
      <c r="J121" s="96"/>
      <c r="K121" s="96"/>
      <c r="L121" s="96"/>
      <c r="M121" s="96"/>
      <c r="N121" s="122"/>
      <c r="O121" s="96"/>
      <c r="P121" s="96"/>
    </row>
    <row r="122" spans="1:18" ht="43.5" customHeight="1">
      <c r="A122" s="360" t="s">
        <v>119</v>
      </c>
      <c r="B122" s="361"/>
      <c r="C122" s="354">
        <f t="shared" ref="C122:P122" si="53">C55/(C31)</f>
        <v>-2.1223531148917712E-2</v>
      </c>
      <c r="D122" s="354">
        <f t="shared" si="53"/>
        <v>8.1066211244001929E-2</v>
      </c>
      <c r="E122" s="354">
        <f t="shared" si="53"/>
        <v>7.7602388663573857E-2</v>
      </c>
      <c r="F122" s="354">
        <f t="shared" ref="F122" si="54">F55/(F31)</f>
        <v>6.7665305829905098E-2</v>
      </c>
      <c r="G122" s="379"/>
      <c r="H122" s="354">
        <f t="shared" si="53"/>
        <v>-2.1730234269030049E-2</v>
      </c>
      <c r="I122" s="354">
        <f t="shared" si="53"/>
        <v>-8.121253067013913E-2</v>
      </c>
      <c r="J122" s="354">
        <f t="shared" si="53"/>
        <v>4.1336435884963222E-3</v>
      </c>
      <c r="K122" s="354">
        <f t="shared" si="53"/>
        <v>4.6928221202813987E-2</v>
      </c>
      <c r="L122" s="354">
        <f t="shared" si="53"/>
        <v>3.6471100908984894E-2</v>
      </c>
      <c r="M122" s="354">
        <f t="shared" si="53"/>
        <v>0.19315494152661911</v>
      </c>
      <c r="N122" s="354">
        <f t="shared" ref="N122" si="55">N55/(N31)</f>
        <v>4.2931930792185047E-2</v>
      </c>
      <c r="O122" s="354">
        <f t="shared" si="53"/>
        <v>-2.9923998324314763E-2</v>
      </c>
      <c r="P122" s="354">
        <f t="shared" si="53"/>
        <v>3.3324670891536796E-2</v>
      </c>
    </row>
    <row r="123" spans="1:18" ht="24">
      <c r="A123" s="257"/>
      <c r="B123" s="299" t="s">
        <v>120</v>
      </c>
      <c r="C123" s="354"/>
      <c r="D123" s="354"/>
      <c r="E123" s="354"/>
      <c r="F123" s="354"/>
      <c r="G123" s="379"/>
      <c r="H123" s="354"/>
      <c r="I123" s="354"/>
      <c r="J123" s="354"/>
      <c r="K123" s="354"/>
      <c r="L123" s="354"/>
      <c r="M123" s="354"/>
      <c r="N123" s="354"/>
      <c r="O123" s="354"/>
      <c r="P123" s="354"/>
    </row>
    <row r="124" spans="1:18" ht="14.25">
      <c r="A124" s="300" t="s">
        <v>194</v>
      </c>
      <c r="B124" s="301"/>
      <c r="C124" s="351">
        <f t="shared" ref="C124:P124" si="56">(SUM(C83:C84))/SUM(C99:C104)</f>
        <v>9.3650018313333167E-2</v>
      </c>
      <c r="D124" s="351">
        <f t="shared" si="56"/>
        <v>9.7627191233588828</v>
      </c>
      <c r="E124" s="351">
        <f t="shared" si="56"/>
        <v>4.5912941992040963</v>
      </c>
      <c r="F124" s="351">
        <f t="shared" ref="F124" si="57">(SUM(F83:F84))/SUM(F99:F104)</f>
        <v>7.8602053841262931</v>
      </c>
      <c r="G124" s="377"/>
      <c r="H124" s="351">
        <f t="shared" si="56"/>
        <v>3.6179832933613949</v>
      </c>
      <c r="I124" s="351">
        <f t="shared" si="56"/>
        <v>4.3682003032321139</v>
      </c>
      <c r="J124" s="351">
        <f t="shared" si="56"/>
        <v>2.884188797831043</v>
      </c>
      <c r="K124" s="351">
        <f t="shared" si="56"/>
        <v>3.1736010487821709</v>
      </c>
      <c r="L124" s="351">
        <f t="shared" si="56"/>
        <v>11.789252916356416</v>
      </c>
      <c r="M124" s="351">
        <f t="shared" si="56"/>
        <v>34.685806167793942</v>
      </c>
      <c r="N124" s="351">
        <f t="shared" ref="N124" si="58">(SUM(N83:N84))/SUM(N99:N104)</f>
        <v>3.6505063399162263</v>
      </c>
      <c r="O124" s="351" t="e">
        <f t="shared" si="56"/>
        <v>#DIV/0!</v>
      </c>
      <c r="P124" s="351">
        <f t="shared" si="56"/>
        <v>7.2533550286688362</v>
      </c>
    </row>
    <row r="125" spans="1:18" ht="36">
      <c r="A125" s="302"/>
      <c r="B125" s="303" t="s">
        <v>195</v>
      </c>
      <c r="C125" s="352"/>
      <c r="D125" s="352"/>
      <c r="E125" s="352"/>
      <c r="F125" s="352"/>
      <c r="G125" s="378"/>
      <c r="H125" s="352"/>
      <c r="I125" s="352"/>
      <c r="J125" s="352"/>
      <c r="K125" s="352"/>
      <c r="L125" s="352"/>
      <c r="M125" s="352"/>
      <c r="N125" s="352"/>
      <c r="O125" s="352"/>
      <c r="P125" s="352"/>
    </row>
    <row r="126" spans="1:18" ht="14.25">
      <c r="A126" s="300" t="s">
        <v>196</v>
      </c>
      <c r="B126" s="301"/>
      <c r="C126" s="351">
        <f t="shared" ref="C126:P126" si="59">(SUM(C83:C84))/SUM(C99:C105)</f>
        <v>6.8599091206082374E-2</v>
      </c>
      <c r="D126" s="351">
        <f t="shared" si="59"/>
        <v>6.0309914150952002</v>
      </c>
      <c r="E126" s="351">
        <f t="shared" si="59"/>
        <v>4.0638687052664695</v>
      </c>
      <c r="F126" s="351">
        <f t="shared" ref="F126" si="60">(SUM(F83:F84))/SUM(F99:F105)</f>
        <v>4.6966837643088164</v>
      </c>
      <c r="G126" s="377"/>
      <c r="H126" s="351">
        <f t="shared" si="59"/>
        <v>3.6179832933613949</v>
      </c>
      <c r="I126" s="351">
        <f t="shared" si="59"/>
        <v>4.3682003032321139</v>
      </c>
      <c r="J126" s="351">
        <f t="shared" si="59"/>
        <v>2.1655601563765066</v>
      </c>
      <c r="K126" s="351">
        <f t="shared" si="59"/>
        <v>3.1736010487821709</v>
      </c>
      <c r="L126" s="351">
        <f t="shared" si="59"/>
        <v>8.2566576275900427</v>
      </c>
      <c r="M126" s="351">
        <f t="shared" si="59"/>
        <v>16.885047431277847</v>
      </c>
      <c r="N126" s="351">
        <f t="shared" ref="N126" si="61">(SUM(N83:N84))/SUM(N99:N105)</f>
        <v>3.6203000558924185</v>
      </c>
      <c r="O126" s="351" t="e">
        <f t="shared" si="59"/>
        <v>#DIV/0!</v>
      </c>
      <c r="P126" s="351">
        <f t="shared" si="59"/>
        <v>7.2533550286688362</v>
      </c>
    </row>
    <row r="127" spans="1:18" ht="24">
      <c r="A127" s="302"/>
      <c r="B127" s="303" t="s">
        <v>197</v>
      </c>
      <c r="C127" s="352"/>
      <c r="D127" s="352"/>
      <c r="E127" s="352"/>
      <c r="F127" s="352"/>
      <c r="G127" s="378"/>
      <c r="H127" s="352"/>
      <c r="I127" s="352"/>
      <c r="J127" s="352"/>
      <c r="K127" s="352"/>
      <c r="L127" s="352"/>
      <c r="M127" s="352"/>
      <c r="N127" s="352"/>
      <c r="O127" s="352"/>
      <c r="P127" s="352"/>
    </row>
    <row r="128" spans="1:18" s="173" customFormat="1" ht="8.1" customHeight="1">
      <c r="A128" s="174"/>
      <c r="B128" s="175"/>
      <c r="C128" s="176"/>
      <c r="D128" s="176"/>
      <c r="E128" s="176"/>
      <c r="F128" s="176"/>
      <c r="G128" s="206"/>
      <c r="H128" s="176"/>
      <c r="I128" s="176"/>
      <c r="J128" s="176"/>
      <c r="K128" s="176"/>
      <c r="L128" s="176"/>
      <c r="M128" s="176"/>
      <c r="N128" s="176"/>
      <c r="O128" s="176"/>
      <c r="P128" s="177"/>
    </row>
    <row r="129" spans="1:17" ht="12.75" customHeight="1">
      <c r="A129" s="304" t="s">
        <v>121</v>
      </c>
      <c r="B129" s="75"/>
      <c r="C129" s="353">
        <f t="shared" ref="C129:P129" si="62">C110/C97</f>
        <v>0.40725505483142899</v>
      </c>
      <c r="D129" s="353">
        <f t="shared" si="62"/>
        <v>0.48590942966357337</v>
      </c>
      <c r="E129" s="353">
        <f t="shared" si="62"/>
        <v>0.38897785711868854</v>
      </c>
      <c r="F129" s="353">
        <f t="shared" ref="F129" si="63">F110/F97</f>
        <v>0.34925572506786046</v>
      </c>
      <c r="G129" s="376"/>
      <c r="H129" s="353">
        <f t="shared" si="62"/>
        <v>7.247265279601392E-2</v>
      </c>
      <c r="I129" s="353">
        <f t="shared" si="62"/>
        <v>0.38800940829657599</v>
      </c>
      <c r="J129" s="353">
        <f t="shared" si="62"/>
        <v>0.29613868344910504</v>
      </c>
      <c r="K129" s="353">
        <f t="shared" si="62"/>
        <v>0.44144868168579349</v>
      </c>
      <c r="L129" s="353">
        <f t="shared" si="62"/>
        <v>0.21450436825337429</v>
      </c>
      <c r="M129" s="353">
        <f t="shared" si="62"/>
        <v>0.19804918970010224</v>
      </c>
      <c r="N129" s="353">
        <f t="shared" ref="N129" si="64">N110/N97</f>
        <v>0.20914905130142381</v>
      </c>
      <c r="O129" s="353">
        <f t="shared" si="62"/>
        <v>0.1512440747367062</v>
      </c>
      <c r="P129" s="353">
        <f t="shared" si="62"/>
        <v>4.2477628432940791E-2</v>
      </c>
    </row>
    <row r="130" spans="1:17" ht="25.5">
      <c r="A130" s="257"/>
      <c r="B130" s="305" t="s">
        <v>122</v>
      </c>
      <c r="C130" s="353"/>
      <c r="D130" s="353"/>
      <c r="E130" s="353"/>
      <c r="F130" s="353"/>
      <c r="G130" s="376"/>
      <c r="H130" s="353"/>
      <c r="I130" s="353"/>
      <c r="J130" s="353"/>
      <c r="K130" s="353"/>
      <c r="L130" s="353"/>
      <c r="M130" s="353"/>
      <c r="N130" s="353"/>
      <c r="O130" s="353"/>
      <c r="P130" s="353"/>
    </row>
    <row r="131" spans="1:17" ht="12.75" customHeight="1">
      <c r="A131" s="304" t="s">
        <v>123</v>
      </c>
      <c r="B131" s="306"/>
      <c r="C131" s="353">
        <f t="shared" ref="C131:P131" si="65">C118/C97</f>
        <v>0.59274423796683384</v>
      </c>
      <c r="D131" s="353">
        <f t="shared" si="65"/>
        <v>0.51409057033642658</v>
      </c>
      <c r="E131" s="353">
        <f t="shared" si="65"/>
        <v>0.6110221428813114</v>
      </c>
      <c r="F131" s="353">
        <f t="shared" ref="F131" si="66">F118/F97</f>
        <v>0.6507442749321396</v>
      </c>
      <c r="G131" s="376"/>
      <c r="H131" s="353">
        <f t="shared" si="65"/>
        <v>0.92752664411108643</v>
      </c>
      <c r="I131" s="353">
        <f t="shared" si="65"/>
        <v>0.61198974654562877</v>
      </c>
      <c r="J131" s="353">
        <f t="shared" si="65"/>
        <v>0.70386274362898826</v>
      </c>
      <c r="K131" s="353">
        <f t="shared" si="65"/>
        <v>0.55855198525787708</v>
      </c>
      <c r="L131" s="353">
        <f t="shared" si="65"/>
        <v>0.78549563174662573</v>
      </c>
      <c r="M131" s="353">
        <f t="shared" si="65"/>
        <v>0.80195083251339216</v>
      </c>
      <c r="N131" s="353">
        <f t="shared" ref="N131" si="67">N118/N97</f>
        <v>0.79085094869857619</v>
      </c>
      <c r="O131" s="353">
        <f t="shared" si="65"/>
        <v>0.8487559252632938</v>
      </c>
      <c r="P131" s="353">
        <f t="shared" si="65"/>
        <v>0.95752188903123692</v>
      </c>
    </row>
    <row r="132" spans="1:17" ht="24">
      <c r="A132" s="257"/>
      <c r="B132" s="299" t="s">
        <v>124</v>
      </c>
      <c r="C132" s="353"/>
      <c r="D132" s="353"/>
      <c r="E132" s="353"/>
      <c r="F132" s="353"/>
      <c r="G132" s="376"/>
      <c r="H132" s="353"/>
      <c r="I132" s="353"/>
      <c r="J132" s="353"/>
      <c r="K132" s="353"/>
      <c r="L132" s="353"/>
      <c r="M132" s="353"/>
      <c r="N132" s="353"/>
      <c r="O132" s="353"/>
      <c r="P132" s="353"/>
    </row>
    <row r="133" spans="1:17" ht="12.75" customHeight="1">
      <c r="A133" s="362" t="s">
        <v>125</v>
      </c>
      <c r="B133" s="363"/>
      <c r="C133" s="353">
        <f t="shared" ref="C133:P133" si="68">C110/C118</f>
        <v>0.68706708348334267</v>
      </c>
      <c r="D133" s="353">
        <f t="shared" si="68"/>
        <v>0.94518253728246526</v>
      </c>
      <c r="E133" s="353">
        <f t="shared" si="68"/>
        <v>0.63660190003007133</v>
      </c>
      <c r="F133" s="353">
        <f t="shared" ref="F133" si="69">F110/F118</f>
        <v>0.53670195577868318</v>
      </c>
      <c r="G133" s="376"/>
      <c r="H133" s="353">
        <f t="shared" si="68"/>
        <v>7.8135386466951062E-2</v>
      </c>
      <c r="I133" s="353">
        <f t="shared" si="68"/>
        <v>0.63401292339731508</v>
      </c>
      <c r="J133" s="353">
        <f t="shared" si="68"/>
        <v>0.4207335679144884</v>
      </c>
      <c r="K133" s="353">
        <f t="shared" si="68"/>
        <v>0.79034484405597749</v>
      </c>
      <c r="L133" s="353">
        <f t="shared" si="68"/>
        <v>0.27308155460572459</v>
      </c>
      <c r="M133" s="353">
        <f t="shared" si="68"/>
        <v>0.24695926691589901</v>
      </c>
      <c r="N133" s="353">
        <f t="shared" ref="N133" si="70">N110/N118</f>
        <v>0.26446077057326584</v>
      </c>
      <c r="O133" s="353">
        <f t="shared" si="68"/>
        <v>0.17819501488580308</v>
      </c>
      <c r="P133" s="353">
        <f t="shared" si="68"/>
        <v>4.4362044272342534E-2</v>
      </c>
    </row>
    <row r="134" spans="1:17" ht="12.75" customHeight="1">
      <c r="A134" s="257"/>
      <c r="B134" s="299" t="s">
        <v>126</v>
      </c>
      <c r="C134" s="353"/>
      <c r="D134" s="353"/>
      <c r="E134" s="353"/>
      <c r="F134" s="353"/>
      <c r="G134" s="376"/>
      <c r="H134" s="353"/>
      <c r="I134" s="353"/>
      <c r="J134" s="353"/>
      <c r="K134" s="353"/>
      <c r="L134" s="353"/>
      <c r="M134" s="353"/>
      <c r="N134" s="353"/>
      <c r="O134" s="353"/>
      <c r="P134" s="353"/>
    </row>
    <row r="135" spans="1:17" s="173" customFormat="1" ht="8.1" customHeight="1">
      <c r="A135" s="178"/>
      <c r="B135" s="179"/>
      <c r="C135" s="180"/>
      <c r="D135" s="180"/>
      <c r="E135" s="180"/>
      <c r="F135" s="180"/>
      <c r="G135" s="207"/>
      <c r="H135" s="180"/>
      <c r="I135" s="180"/>
      <c r="J135" s="180"/>
      <c r="K135" s="180"/>
      <c r="L135" s="180"/>
      <c r="M135" s="180"/>
      <c r="N135" s="180"/>
      <c r="O135" s="180"/>
      <c r="P135" s="182"/>
    </row>
    <row r="136" spans="1:17">
      <c r="A136" s="268" t="s">
        <v>127</v>
      </c>
      <c r="B136" s="34"/>
      <c r="C136" s="128">
        <v>2</v>
      </c>
      <c r="D136" s="128">
        <v>3</v>
      </c>
      <c r="E136" s="128">
        <v>6</v>
      </c>
      <c r="F136" s="128">
        <v>4</v>
      </c>
      <c r="G136" s="129"/>
      <c r="H136" s="128">
        <v>2</v>
      </c>
      <c r="I136" s="128">
        <v>0</v>
      </c>
      <c r="J136" s="128">
        <v>2</v>
      </c>
      <c r="K136" s="128">
        <v>1</v>
      </c>
      <c r="L136" s="128">
        <v>1</v>
      </c>
      <c r="M136" s="128">
        <v>5</v>
      </c>
      <c r="N136" s="128">
        <v>4</v>
      </c>
      <c r="O136" s="128">
        <v>4</v>
      </c>
      <c r="P136" s="128">
        <v>4</v>
      </c>
    </row>
    <row r="137" spans="1:17" s="173" customFormat="1" ht="8.1" customHeight="1">
      <c r="A137" s="184"/>
      <c r="B137" s="179"/>
      <c r="C137" s="179"/>
      <c r="D137" s="179"/>
      <c r="E137" s="179"/>
      <c r="F137" s="179"/>
      <c r="G137" s="208"/>
      <c r="H137" s="179"/>
      <c r="I137" s="179"/>
      <c r="J137" s="179"/>
      <c r="K137" s="179"/>
      <c r="L137" s="179"/>
      <c r="M137" s="179"/>
      <c r="N137" s="179"/>
      <c r="O137" s="179"/>
      <c r="P137" s="185"/>
    </row>
    <row r="138" spans="1:17">
      <c r="A138" s="307" t="s">
        <v>128</v>
      </c>
      <c r="B138" s="307"/>
      <c r="C138" s="186">
        <v>7023</v>
      </c>
      <c r="D138" s="195">
        <v>17114</v>
      </c>
      <c r="E138" s="195">
        <v>15175</v>
      </c>
      <c r="F138" s="195">
        <v>26155</v>
      </c>
      <c r="G138" s="196"/>
      <c r="H138" s="195">
        <v>16794</v>
      </c>
      <c r="I138" s="195">
        <v>21598</v>
      </c>
      <c r="J138" s="195">
        <v>16503</v>
      </c>
      <c r="K138" s="195">
        <v>11256</v>
      </c>
      <c r="L138" s="195">
        <v>21989</v>
      </c>
      <c r="M138" s="310" t="s">
        <v>234</v>
      </c>
      <c r="N138" s="195">
        <v>11714</v>
      </c>
      <c r="O138" s="195">
        <v>28591</v>
      </c>
      <c r="P138" s="195">
        <v>36168</v>
      </c>
      <c r="Q138" s="45">
        <f>AVERAGE(C138:P138)</f>
        <v>19173.333333333332</v>
      </c>
    </row>
    <row r="139" spans="1:17">
      <c r="A139" s="307" t="s">
        <v>129</v>
      </c>
      <c r="B139" s="307"/>
      <c r="C139" s="66">
        <v>0</v>
      </c>
      <c r="D139" s="195">
        <v>32160</v>
      </c>
      <c r="E139" s="195">
        <v>1756</v>
      </c>
      <c r="F139" s="195">
        <v>19914</v>
      </c>
      <c r="G139" s="196"/>
      <c r="H139" s="195">
        <v>17601</v>
      </c>
      <c r="I139" s="195">
        <v>12182</v>
      </c>
      <c r="J139" s="195">
        <v>6592</v>
      </c>
      <c r="K139" s="195">
        <v>9187</v>
      </c>
      <c r="L139" s="195">
        <v>0</v>
      </c>
      <c r="M139" s="310" t="s">
        <v>234</v>
      </c>
      <c r="N139" s="195">
        <v>6372</v>
      </c>
      <c r="O139" s="195">
        <v>23505</v>
      </c>
      <c r="P139" s="195">
        <v>32762</v>
      </c>
      <c r="Q139" s="45">
        <f>AVERAGE(C139:P139)</f>
        <v>13502.583333333334</v>
      </c>
    </row>
    <row r="140" spans="1:17">
      <c r="A140" s="307" t="s">
        <v>130</v>
      </c>
      <c r="B140" s="307"/>
      <c r="C140" s="186">
        <v>7023</v>
      </c>
      <c r="D140" s="195">
        <v>49274</v>
      </c>
      <c r="E140" s="195">
        <v>16931</v>
      </c>
      <c r="F140" s="195">
        <v>46069</v>
      </c>
      <c r="G140" s="196"/>
      <c r="H140" s="195">
        <v>34395</v>
      </c>
      <c r="I140" s="195">
        <v>33780</v>
      </c>
      <c r="J140" s="195">
        <v>23095</v>
      </c>
      <c r="K140" s="195">
        <v>20443</v>
      </c>
      <c r="L140" s="195">
        <v>21989</v>
      </c>
      <c r="M140" s="310" t="s">
        <v>234</v>
      </c>
      <c r="N140" s="195">
        <v>18086</v>
      </c>
      <c r="O140" s="195">
        <v>52096</v>
      </c>
      <c r="P140" s="195">
        <v>68930</v>
      </c>
      <c r="Q140" s="45">
        <f>AVERAGE(C140:P140)</f>
        <v>32675.916666666668</v>
      </c>
    </row>
    <row r="143" spans="1:17" ht="12.75" customHeight="1">
      <c r="A143" s="168" t="s">
        <v>152</v>
      </c>
      <c r="B143" s="125" t="s">
        <v>238</v>
      </c>
      <c r="C143" s="159"/>
      <c r="D143" s="159"/>
      <c r="H143" s="60"/>
      <c r="I143" s="60"/>
      <c r="J143" s="60"/>
      <c r="K143" s="60"/>
      <c r="L143" s="60"/>
      <c r="M143" s="60"/>
      <c r="O143" s="60"/>
      <c r="P143" s="60"/>
    </row>
    <row r="144" spans="1:17" ht="12.75" customHeight="1">
      <c r="A144" s="168"/>
      <c r="B144" s="125" t="s">
        <v>230</v>
      </c>
      <c r="C144" s="159"/>
      <c r="D144" s="159"/>
      <c r="M144" s="60"/>
    </row>
  </sheetData>
  <mergeCells count="101">
    <mergeCell ref="N2:N3"/>
    <mergeCell ref="O2:O3"/>
    <mergeCell ref="P2:P3"/>
    <mergeCell ref="L2:L3"/>
    <mergeCell ref="M2:M3"/>
    <mergeCell ref="A133:B133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122:B122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F122:F123"/>
    <mergeCell ref="D124:D125"/>
    <mergeCell ref="E124:E125"/>
    <mergeCell ref="F124:F125"/>
    <mergeCell ref="D126:D127"/>
    <mergeCell ref="E126:E127"/>
    <mergeCell ref="F126:F127"/>
    <mergeCell ref="D129:D130"/>
    <mergeCell ref="E129:E130"/>
    <mergeCell ref="F129:F130"/>
    <mergeCell ref="D131:D132"/>
    <mergeCell ref="E131:E132"/>
    <mergeCell ref="L122:L123"/>
    <mergeCell ref="M122:M123"/>
    <mergeCell ref="N122:N123"/>
    <mergeCell ref="O122:O123"/>
    <mergeCell ref="P122:P123"/>
    <mergeCell ref="G122:G123"/>
    <mergeCell ref="H122:H123"/>
    <mergeCell ref="I122:I123"/>
    <mergeCell ref="J122:J123"/>
    <mergeCell ref="K122:K123"/>
    <mergeCell ref="L124:L125"/>
    <mergeCell ref="M124:M125"/>
    <mergeCell ref="N124:N125"/>
    <mergeCell ref="O124:O125"/>
    <mergeCell ref="P124:P125"/>
    <mergeCell ref="G124:G125"/>
    <mergeCell ref="H124:H125"/>
    <mergeCell ref="I124:I125"/>
    <mergeCell ref="J124:J125"/>
    <mergeCell ref="K124:K125"/>
    <mergeCell ref="L126:L127"/>
    <mergeCell ref="M126:M127"/>
    <mergeCell ref="N126:N127"/>
    <mergeCell ref="O126:O127"/>
    <mergeCell ref="P126:P127"/>
    <mergeCell ref="G126:G127"/>
    <mergeCell ref="H126:H127"/>
    <mergeCell ref="I126:I127"/>
    <mergeCell ref="J126:J127"/>
    <mergeCell ref="K126:K127"/>
    <mergeCell ref="L129:L130"/>
    <mergeCell ref="M129:M130"/>
    <mergeCell ref="N129:N130"/>
    <mergeCell ref="O129:O130"/>
    <mergeCell ref="P129:P130"/>
    <mergeCell ref="G129:G130"/>
    <mergeCell ref="H129:H130"/>
    <mergeCell ref="I129:I130"/>
    <mergeCell ref="J129:J130"/>
    <mergeCell ref="K129:K130"/>
    <mergeCell ref="P131:P132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O133:O134"/>
    <mergeCell ref="P133:P134"/>
    <mergeCell ref="K131:K132"/>
    <mergeCell ref="L131:L132"/>
    <mergeCell ref="M131:M132"/>
    <mergeCell ref="N131:N132"/>
    <mergeCell ref="O131:O132"/>
    <mergeCell ref="F131:F132"/>
    <mergeCell ref="G131:G132"/>
    <mergeCell ref="H131:H132"/>
    <mergeCell ref="I131:I132"/>
    <mergeCell ref="J131:J132"/>
  </mergeCells>
  <conditionalFormatting sqref="C122:E123 O122:P123 H122:M123">
    <cfRule type="cellIs" dxfId="36" priority="13" operator="lessThan">
      <formula>0</formula>
    </cfRule>
  </conditionalFormatting>
  <conditionalFormatting sqref="N122:N123">
    <cfRule type="cellIs" dxfId="35" priority="12" operator="lessThan">
      <formula>0</formula>
    </cfRule>
  </conditionalFormatting>
  <conditionalFormatting sqref="C65:E65 H65:P65">
    <cfRule type="cellIs" dxfId="34" priority="11" operator="lessThan">
      <formula>0</formula>
    </cfRule>
  </conditionalFormatting>
  <conditionalFormatting sqref="G122:G123">
    <cfRule type="cellIs" dxfId="33" priority="8" operator="lessThan">
      <formula>0</formula>
    </cfRule>
  </conditionalFormatting>
  <conditionalFormatting sqref="G65">
    <cfRule type="cellIs" dxfId="32" priority="5" operator="lessThan">
      <formula>0</formula>
    </cfRule>
  </conditionalFormatting>
  <conditionalFormatting sqref="F65">
    <cfRule type="cellIs" dxfId="31" priority="2" operator="lessThan">
      <formula>0</formula>
    </cfRule>
  </conditionalFormatting>
  <conditionalFormatting sqref="F122:F123">
    <cfRule type="cellIs" dxfId="30" priority="1" operator="lessThan">
      <formula>0</formula>
    </cfRule>
  </conditionalFormatting>
  <printOptions horizontalCentered="1"/>
  <pageMargins left="0.35294117647058826" right="0.41360294117647056" top="1" bottom="0.79315476190476186" header="0.5" footer="0.5"/>
  <pageSetup scale="65" fitToHeight="0" orientation="portrait" r:id="rId1"/>
  <headerFooter alignWithMargins="0">
    <oddHeader>&amp;C&amp;"Arial,Bold"&amp;14CLASS III FAIRS</oddHeader>
    <oddFooter xml:space="preserve">&amp;CFairs and Expositions&amp;R
</oddFooter>
  </headerFooter>
  <rowBreaks count="1" manualBreakCount="1">
    <brk id="76" max="15" man="1"/>
  </rowBreaks>
  <colBreaks count="1" manualBreakCount="1">
    <brk id="9" max="141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44"/>
  <sheetViews>
    <sheetView view="pageBreakPreview" topLeftCell="B1" zoomScale="85" zoomScaleNormal="100" zoomScaleSheetLayoutView="85" zoomScalePageLayoutView="85" workbookViewId="0">
      <selection activeCell="K18" sqref="K18"/>
    </sheetView>
  </sheetViews>
  <sheetFormatPr defaultRowHeight="12.75"/>
  <cols>
    <col min="1" max="1" width="4.7109375" style="20" customWidth="1"/>
    <col min="2" max="2" width="56.42578125" style="20" customWidth="1"/>
    <col min="3" max="13" width="12.7109375" style="20" customWidth="1"/>
    <col min="14" max="16" width="12.7109375" style="60" customWidth="1"/>
    <col min="17" max="17" width="13.140625" style="20" customWidth="1"/>
    <col min="18" max="18" width="12.5703125" style="20" customWidth="1"/>
    <col min="19" max="16384" width="9.140625" style="20"/>
  </cols>
  <sheetData>
    <row r="1" spans="1:18" ht="12" customHeight="1">
      <c r="A1" s="356"/>
      <c r="B1" s="357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</row>
    <row r="2" spans="1:18" ht="12" customHeight="1">
      <c r="A2" s="374"/>
      <c r="B2" s="375"/>
      <c r="C2" s="367" t="s">
        <v>155</v>
      </c>
      <c r="D2" s="367" t="s">
        <v>156</v>
      </c>
      <c r="E2" s="367" t="s">
        <v>157</v>
      </c>
      <c r="F2" s="367" t="s">
        <v>158</v>
      </c>
      <c r="G2" s="367" t="s">
        <v>221</v>
      </c>
      <c r="H2" s="367" t="s">
        <v>159</v>
      </c>
      <c r="I2" s="367" t="s">
        <v>160</v>
      </c>
      <c r="J2" s="367" t="s">
        <v>161</v>
      </c>
      <c r="K2" s="367" t="s">
        <v>162</v>
      </c>
      <c r="L2" s="367" t="s">
        <v>163</v>
      </c>
      <c r="M2" s="367" t="s">
        <v>164</v>
      </c>
      <c r="N2" s="367" t="s">
        <v>165</v>
      </c>
      <c r="O2" s="367" t="s">
        <v>233</v>
      </c>
      <c r="P2" s="367" t="s">
        <v>239</v>
      </c>
    </row>
    <row r="3" spans="1:18" ht="69" customHeight="1">
      <c r="A3" s="374"/>
      <c r="B3" s="375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83"/>
      <c r="P3" s="383"/>
      <c r="R3" s="20" t="s">
        <v>41</v>
      </c>
    </row>
    <row r="4" spans="1:18" ht="13.5" customHeight="1">
      <c r="A4" s="312" t="s">
        <v>205</v>
      </c>
      <c r="B4" s="312"/>
      <c r="C4" s="49"/>
      <c r="D4" s="49"/>
      <c r="E4" s="49"/>
      <c r="F4" s="49"/>
      <c r="G4" s="49"/>
      <c r="H4" s="49"/>
      <c r="I4" s="49"/>
      <c r="J4" s="49"/>
      <c r="K4" s="49"/>
      <c r="L4" s="49"/>
      <c r="M4" s="48"/>
      <c r="N4" s="48"/>
      <c r="O4" s="48"/>
      <c r="P4" s="50"/>
    </row>
    <row r="5" spans="1:18" ht="13.5" customHeight="1">
      <c r="A5" s="255"/>
      <c r="B5" s="36" t="s">
        <v>42</v>
      </c>
      <c r="C5" s="249">
        <v>447287</v>
      </c>
      <c r="D5" s="249">
        <v>1690755.96</v>
      </c>
      <c r="E5" s="249">
        <v>260466</v>
      </c>
      <c r="F5" s="249">
        <v>2023230.42</v>
      </c>
      <c r="G5" s="249">
        <v>64485</v>
      </c>
      <c r="H5" s="249">
        <v>-23244</v>
      </c>
      <c r="I5" s="249">
        <v>316221</v>
      </c>
      <c r="J5" s="249">
        <v>539452</v>
      </c>
      <c r="K5" s="249">
        <v>1081585</v>
      </c>
      <c r="L5" s="249">
        <v>460269</v>
      </c>
      <c r="M5" s="249">
        <v>253355</v>
      </c>
      <c r="N5" s="249">
        <v>940289</v>
      </c>
      <c r="O5" s="249">
        <v>12881.97</v>
      </c>
      <c r="P5" s="249">
        <v>-3542.82</v>
      </c>
    </row>
    <row r="6" spans="1:18" ht="13.5" customHeight="1">
      <c r="A6" s="255"/>
      <c r="B6" s="28" t="s">
        <v>43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12500</v>
      </c>
      <c r="N6" s="30">
        <v>0</v>
      </c>
      <c r="O6" s="30">
        <v>9068.5300000000007</v>
      </c>
      <c r="P6" s="27">
        <v>34138</v>
      </c>
    </row>
    <row r="7" spans="1:18" ht="13.5" customHeight="1">
      <c r="A7" s="255"/>
      <c r="B7" s="22" t="s">
        <v>44</v>
      </c>
      <c r="C7" s="42">
        <v>3140716</v>
      </c>
      <c r="D7" s="42">
        <v>887322.61</v>
      </c>
      <c r="E7" s="27">
        <v>1980275</v>
      </c>
      <c r="F7" s="27">
        <v>5691295.5800000001</v>
      </c>
      <c r="G7" s="27">
        <v>1707084</v>
      </c>
      <c r="H7" s="27">
        <v>2851763</v>
      </c>
      <c r="I7" s="27">
        <v>2645874</v>
      </c>
      <c r="J7" s="42">
        <v>749210</v>
      </c>
      <c r="K7" s="27">
        <v>1174480</v>
      </c>
      <c r="L7" s="27">
        <v>1592101</v>
      </c>
      <c r="M7" s="26">
        <v>1060320</v>
      </c>
      <c r="N7" s="26">
        <v>6027277</v>
      </c>
      <c r="O7" s="26">
        <v>1295355.82</v>
      </c>
      <c r="P7" s="27">
        <v>776433</v>
      </c>
    </row>
    <row r="8" spans="1:18" ht="13.5" customHeight="1">
      <c r="A8" s="255"/>
      <c r="B8" s="22" t="s">
        <v>45</v>
      </c>
      <c r="C8" s="110">
        <v>0</v>
      </c>
      <c r="D8" s="110">
        <v>0</v>
      </c>
      <c r="E8" s="85">
        <v>0</v>
      </c>
      <c r="F8" s="85">
        <v>-521573.01</v>
      </c>
      <c r="G8" s="85">
        <v>0</v>
      </c>
      <c r="H8" s="85">
        <v>0</v>
      </c>
      <c r="I8" s="85">
        <v>0</v>
      </c>
      <c r="J8" s="110">
        <v>0</v>
      </c>
      <c r="K8" s="85">
        <v>0</v>
      </c>
      <c r="L8" s="85">
        <v>0</v>
      </c>
      <c r="M8" s="86">
        <v>1648</v>
      </c>
      <c r="N8" s="86">
        <v>0</v>
      </c>
      <c r="O8" s="86">
        <v>-294702</v>
      </c>
      <c r="P8" s="30">
        <v>-26451.8</v>
      </c>
      <c r="R8" s="45">
        <f>SUM(C8:K8)</f>
        <v>-521573.01</v>
      </c>
    </row>
    <row r="9" spans="1:18" s="33" customFormat="1" ht="13.5" customHeight="1" thickBot="1">
      <c r="A9" s="256"/>
      <c r="B9" s="115" t="s">
        <v>46</v>
      </c>
      <c r="C9" s="78">
        <f t="shared" ref="C9:L9" si="0">SUM(C5:C8)</f>
        <v>3588003</v>
      </c>
      <c r="D9" s="78">
        <f t="shared" si="0"/>
        <v>2578078.5699999998</v>
      </c>
      <c r="E9" s="78">
        <f t="shared" si="0"/>
        <v>2240741</v>
      </c>
      <c r="F9" s="78">
        <f t="shared" si="0"/>
        <v>7192952.9900000002</v>
      </c>
      <c r="G9" s="78">
        <f t="shared" si="0"/>
        <v>1771569</v>
      </c>
      <c r="H9" s="78">
        <f t="shared" si="0"/>
        <v>2828519</v>
      </c>
      <c r="I9" s="78">
        <f t="shared" si="0"/>
        <v>2962095</v>
      </c>
      <c r="J9" s="78">
        <f t="shared" si="0"/>
        <v>1288662</v>
      </c>
      <c r="K9" s="78">
        <f t="shared" si="0"/>
        <v>2256065</v>
      </c>
      <c r="L9" s="78">
        <f t="shared" si="0"/>
        <v>2052370</v>
      </c>
      <c r="M9" s="78">
        <f>SUM(M5:M8)</f>
        <v>1327823</v>
      </c>
      <c r="N9" s="78">
        <f>SUM(N5:N8)</f>
        <v>6967566</v>
      </c>
      <c r="O9" s="78">
        <f>SUM(O5:O8)</f>
        <v>1022604.3200000001</v>
      </c>
      <c r="P9" s="78">
        <f>SUM(P5:P8)</f>
        <v>780576.38</v>
      </c>
      <c r="R9" s="45">
        <f>SUM(C9:K9)</f>
        <v>26706685.560000002</v>
      </c>
    </row>
    <row r="10" spans="1:18" s="33" customFormat="1" ht="13.5" customHeight="1">
      <c r="A10" s="257" t="s">
        <v>47</v>
      </c>
      <c r="B10" s="47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</row>
    <row r="11" spans="1:18" s="33" customFormat="1" ht="13.5" customHeight="1">
      <c r="A11" s="258"/>
      <c r="B11" s="34" t="s">
        <v>48</v>
      </c>
      <c r="C11" s="35">
        <v>38190</v>
      </c>
      <c r="D11" s="35">
        <v>38190</v>
      </c>
      <c r="E11" s="35">
        <v>38190</v>
      </c>
      <c r="F11" s="35">
        <v>38190</v>
      </c>
      <c r="G11" s="35">
        <v>38190</v>
      </c>
      <c r="H11" s="35">
        <v>38190</v>
      </c>
      <c r="I11" s="35">
        <v>38190</v>
      </c>
      <c r="J11" s="35">
        <v>38190</v>
      </c>
      <c r="K11" s="35">
        <v>68190</v>
      </c>
      <c r="L11" s="35">
        <v>38190</v>
      </c>
      <c r="M11" s="35">
        <v>38190</v>
      </c>
      <c r="N11" s="35">
        <v>38190</v>
      </c>
      <c r="O11" s="35">
        <v>38190</v>
      </c>
      <c r="P11" s="35">
        <v>99550</v>
      </c>
      <c r="R11" s="45">
        <f>SUM(C11:K11)</f>
        <v>373710</v>
      </c>
    </row>
    <row r="12" spans="1:18" s="33" customFormat="1" ht="13.5" customHeight="1">
      <c r="A12" s="258"/>
      <c r="B12" s="34" t="s">
        <v>49</v>
      </c>
      <c r="C12" s="35">
        <v>11000</v>
      </c>
      <c r="D12" s="35">
        <v>0</v>
      </c>
      <c r="E12" s="35">
        <v>122103</v>
      </c>
      <c r="F12" s="35">
        <v>0</v>
      </c>
      <c r="G12" s="35">
        <v>0</v>
      </c>
      <c r="H12" s="35">
        <v>0</v>
      </c>
      <c r="I12" s="35">
        <v>46193</v>
      </c>
      <c r="J12" s="35">
        <v>0</v>
      </c>
      <c r="K12" s="35">
        <v>31752</v>
      </c>
      <c r="L12" s="35">
        <v>0</v>
      </c>
      <c r="M12" s="35">
        <v>0</v>
      </c>
      <c r="N12" s="35">
        <v>254.32</v>
      </c>
      <c r="O12" s="35">
        <v>94627.63</v>
      </c>
      <c r="P12" s="35">
        <v>0</v>
      </c>
      <c r="R12" s="45">
        <f>SUM(C12:K12)</f>
        <v>211048</v>
      </c>
    </row>
    <row r="13" spans="1:18" s="33" customFormat="1" ht="13.5" customHeight="1" thickBot="1">
      <c r="A13" s="259"/>
      <c r="B13" s="43" t="s">
        <v>50</v>
      </c>
      <c r="C13" s="44">
        <v>2419</v>
      </c>
      <c r="D13" s="44">
        <v>2419</v>
      </c>
      <c r="E13" s="44">
        <f>2419+24813</f>
        <v>27232</v>
      </c>
      <c r="F13" s="44">
        <v>2419</v>
      </c>
      <c r="G13" s="44">
        <f>2419+105325</f>
        <v>107744</v>
      </c>
      <c r="H13" s="44">
        <f>2419+26939</f>
        <v>29358</v>
      </c>
      <c r="I13" s="44">
        <v>0</v>
      </c>
      <c r="J13" s="44">
        <v>2419</v>
      </c>
      <c r="K13" s="44">
        <f>2419+33870</f>
        <v>36289</v>
      </c>
      <c r="L13" s="44">
        <v>2419</v>
      </c>
      <c r="M13" s="44">
        <v>0</v>
      </c>
      <c r="N13" s="44">
        <v>2201.92</v>
      </c>
      <c r="O13" s="44">
        <v>49873</v>
      </c>
      <c r="P13" s="44">
        <v>25000</v>
      </c>
      <c r="Q13" s="45"/>
      <c r="R13" s="45">
        <f>SUM(C13:K13)</f>
        <v>210299</v>
      </c>
    </row>
    <row r="14" spans="1:18" ht="13.5" customHeight="1">
      <c r="A14" s="254" t="s">
        <v>51</v>
      </c>
      <c r="B14" s="36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7"/>
      <c r="N14" s="37"/>
      <c r="O14" s="37"/>
      <c r="P14" s="39"/>
    </row>
    <row r="15" spans="1:18" ht="13.5" customHeight="1">
      <c r="A15" s="260"/>
      <c r="B15" s="40" t="s">
        <v>52</v>
      </c>
      <c r="C15" s="41">
        <v>332331</v>
      </c>
      <c r="D15" s="41">
        <v>600220</v>
      </c>
      <c r="E15" s="41">
        <v>512353</v>
      </c>
      <c r="F15" s="41">
        <v>250256</v>
      </c>
      <c r="G15" s="41">
        <v>106160</v>
      </c>
      <c r="H15" s="41">
        <v>371036</v>
      </c>
      <c r="I15" s="41">
        <v>147613</v>
      </c>
      <c r="J15" s="41">
        <v>293250</v>
      </c>
      <c r="K15" s="41">
        <v>436714</v>
      </c>
      <c r="L15" s="41">
        <v>226952</v>
      </c>
      <c r="M15" s="29">
        <v>293739</v>
      </c>
      <c r="N15" s="29">
        <v>196546</v>
      </c>
      <c r="O15" s="29">
        <v>225443</v>
      </c>
      <c r="P15" s="30">
        <v>31566.5</v>
      </c>
    </row>
    <row r="16" spans="1:18" ht="13.5" customHeight="1">
      <c r="A16" s="260"/>
      <c r="B16" s="40" t="s">
        <v>53</v>
      </c>
      <c r="C16" s="41">
        <v>56500</v>
      </c>
      <c r="D16" s="41">
        <v>49895</v>
      </c>
      <c r="E16" s="41">
        <v>44700</v>
      </c>
      <c r="F16" s="41">
        <v>23750</v>
      </c>
      <c r="G16" s="41">
        <v>25420</v>
      </c>
      <c r="H16" s="41">
        <v>48263</v>
      </c>
      <c r="I16" s="41">
        <v>57350</v>
      </c>
      <c r="J16" s="41">
        <v>53670</v>
      </c>
      <c r="K16" s="41">
        <v>65200</v>
      </c>
      <c r="L16" s="41">
        <v>71429</v>
      </c>
      <c r="M16" s="29">
        <v>43835</v>
      </c>
      <c r="N16" s="29">
        <v>32365</v>
      </c>
      <c r="O16" s="29">
        <v>13045</v>
      </c>
      <c r="P16" s="30">
        <v>25485</v>
      </c>
    </row>
    <row r="17" spans="1:20" ht="13.5" customHeight="1">
      <c r="A17" s="260"/>
      <c r="B17" s="40" t="s">
        <v>54</v>
      </c>
      <c r="C17" s="41">
        <v>209225</v>
      </c>
      <c r="D17" s="41">
        <v>5940</v>
      </c>
      <c r="E17" s="41">
        <v>0</v>
      </c>
      <c r="F17" s="41">
        <v>157714.14000000001</v>
      </c>
      <c r="G17" s="41">
        <v>0</v>
      </c>
      <c r="H17" s="41">
        <v>151553</v>
      </c>
      <c r="I17" s="41">
        <v>131500</v>
      </c>
      <c r="J17" s="41">
        <v>0</v>
      </c>
      <c r="K17" s="41">
        <v>354666</v>
      </c>
      <c r="L17" s="41">
        <v>130000</v>
      </c>
      <c r="M17" s="29">
        <v>149675</v>
      </c>
      <c r="N17" s="29">
        <v>107703</v>
      </c>
      <c r="O17" s="29">
        <v>0</v>
      </c>
      <c r="P17" s="30">
        <v>34325</v>
      </c>
    </row>
    <row r="18" spans="1:20" ht="13.5" customHeight="1">
      <c r="A18" s="260"/>
      <c r="B18" s="40" t="s">
        <v>55</v>
      </c>
      <c r="C18" s="41">
        <v>128876</v>
      </c>
      <c r="D18" s="41">
        <v>127424</v>
      </c>
      <c r="E18" s="41">
        <v>313794</v>
      </c>
      <c r="F18" s="41">
        <v>120367.31</v>
      </c>
      <c r="G18" s="41">
        <v>155394</v>
      </c>
      <c r="H18" s="41">
        <v>93785</v>
      </c>
      <c r="I18" s="41">
        <v>74887</v>
      </c>
      <c r="J18" s="41">
        <v>209018</v>
      </c>
      <c r="K18" s="41">
        <v>210467</v>
      </c>
      <c r="L18" s="41">
        <v>89580</v>
      </c>
      <c r="M18" s="29">
        <v>178698</v>
      </c>
      <c r="N18" s="29">
        <v>84891</v>
      </c>
      <c r="O18" s="29">
        <v>57972.28</v>
      </c>
      <c r="P18" s="30">
        <v>31463.91</v>
      </c>
    </row>
    <row r="19" spans="1:20" ht="13.5" customHeight="1">
      <c r="A19" s="260"/>
      <c r="B19" s="40" t="s">
        <v>56</v>
      </c>
      <c r="C19" s="41">
        <v>13288</v>
      </c>
      <c r="D19" s="41">
        <v>50916</v>
      </c>
      <c r="E19" s="41">
        <v>4173</v>
      </c>
      <c r="F19" s="41">
        <v>14165.6</v>
      </c>
      <c r="G19" s="41">
        <v>13918</v>
      </c>
      <c r="H19" s="41">
        <v>20237</v>
      </c>
      <c r="I19" s="41">
        <v>24297</v>
      </c>
      <c r="J19" s="41">
        <v>19609</v>
      </c>
      <c r="K19" s="41">
        <v>42661</v>
      </c>
      <c r="L19" s="41">
        <v>30913</v>
      </c>
      <c r="M19" s="29">
        <v>42362</v>
      </c>
      <c r="N19" s="29">
        <v>25186</v>
      </c>
      <c r="O19" s="29">
        <v>15337</v>
      </c>
      <c r="P19" s="30">
        <v>5392.33</v>
      </c>
    </row>
    <row r="20" spans="1:20" ht="13.5" customHeight="1">
      <c r="A20" s="260"/>
      <c r="B20" s="40" t="s">
        <v>57</v>
      </c>
      <c r="C20" s="41">
        <v>0</v>
      </c>
      <c r="D20" s="41">
        <v>0</v>
      </c>
      <c r="E20" s="41">
        <v>31999</v>
      </c>
      <c r="F20" s="41">
        <v>0</v>
      </c>
      <c r="G20" s="41">
        <v>0</v>
      </c>
      <c r="H20" s="41">
        <v>0</v>
      </c>
      <c r="I20" s="41">
        <v>3104</v>
      </c>
      <c r="J20" s="41">
        <v>0</v>
      </c>
      <c r="K20" s="41">
        <v>0</v>
      </c>
      <c r="L20" s="41">
        <v>32097</v>
      </c>
      <c r="M20" s="29">
        <v>0</v>
      </c>
      <c r="N20" s="29">
        <v>5558</v>
      </c>
      <c r="O20" s="29">
        <v>0</v>
      </c>
      <c r="P20" s="30">
        <v>0</v>
      </c>
    </row>
    <row r="21" spans="1:20" ht="13.5" customHeight="1">
      <c r="A21" s="260"/>
      <c r="B21" s="40" t="s">
        <v>58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26">
        <v>460189</v>
      </c>
      <c r="N21" s="26">
        <v>0</v>
      </c>
      <c r="O21" s="26">
        <v>0</v>
      </c>
      <c r="P21" s="27">
        <v>0</v>
      </c>
    </row>
    <row r="22" spans="1:20" ht="13.5" customHeight="1">
      <c r="A22" s="260"/>
      <c r="B22" s="40" t="s">
        <v>59</v>
      </c>
      <c r="C22" s="41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51577</v>
      </c>
      <c r="J22" s="41">
        <v>0</v>
      </c>
      <c r="K22" s="41">
        <v>0</v>
      </c>
      <c r="L22" s="41">
        <v>0</v>
      </c>
      <c r="M22" s="29">
        <v>0</v>
      </c>
      <c r="N22" s="29">
        <v>0</v>
      </c>
      <c r="O22" s="29">
        <v>0</v>
      </c>
      <c r="P22" s="30">
        <v>0</v>
      </c>
    </row>
    <row r="23" spans="1:20" ht="13.5" customHeight="1">
      <c r="A23" s="260"/>
      <c r="B23" s="40" t="s">
        <v>60</v>
      </c>
      <c r="C23" s="41">
        <v>10425</v>
      </c>
      <c r="D23" s="41">
        <v>6781</v>
      </c>
      <c r="E23" s="41">
        <v>0</v>
      </c>
      <c r="F23" s="41">
        <v>45853.5</v>
      </c>
      <c r="G23" s="41">
        <v>1575</v>
      </c>
      <c r="H23" s="41">
        <v>0</v>
      </c>
      <c r="I23" s="41">
        <v>0</v>
      </c>
      <c r="J23" s="41">
        <v>70715</v>
      </c>
      <c r="K23" s="41">
        <v>0</v>
      </c>
      <c r="L23" s="41">
        <v>0</v>
      </c>
      <c r="M23" s="29">
        <v>12652</v>
      </c>
      <c r="N23" s="29">
        <v>0</v>
      </c>
      <c r="O23" s="29"/>
      <c r="P23" s="30">
        <v>0</v>
      </c>
    </row>
    <row r="24" spans="1:20" ht="13.5" customHeight="1">
      <c r="A24" s="260"/>
      <c r="B24" s="40" t="s">
        <v>61</v>
      </c>
      <c r="C24" s="41">
        <v>0</v>
      </c>
      <c r="D24" s="41">
        <v>99950</v>
      </c>
      <c r="E24" s="41">
        <v>0</v>
      </c>
      <c r="F24" s="41">
        <v>0</v>
      </c>
      <c r="G24" s="41">
        <v>0</v>
      </c>
      <c r="H24" s="41">
        <v>0</v>
      </c>
      <c r="I24" s="41">
        <v>5000</v>
      </c>
      <c r="J24" s="41">
        <v>0</v>
      </c>
      <c r="K24" s="41">
        <v>0</v>
      </c>
      <c r="L24" s="41">
        <v>0</v>
      </c>
      <c r="M24" s="29">
        <v>0</v>
      </c>
      <c r="N24" s="29">
        <v>0</v>
      </c>
      <c r="O24" s="29">
        <v>79804.34</v>
      </c>
      <c r="P24" s="30">
        <v>262609</v>
      </c>
    </row>
    <row r="25" spans="1:20" ht="13.5" customHeight="1">
      <c r="A25" s="260"/>
      <c r="B25" s="40" t="s">
        <v>62</v>
      </c>
      <c r="C25" s="41">
        <v>0</v>
      </c>
      <c r="D25" s="41">
        <v>0</v>
      </c>
      <c r="E25" s="41">
        <v>0</v>
      </c>
      <c r="F25" s="41">
        <v>0</v>
      </c>
      <c r="G25" s="41">
        <v>89015</v>
      </c>
      <c r="H25" s="41">
        <v>0</v>
      </c>
      <c r="I25" s="41">
        <v>0</v>
      </c>
      <c r="J25" s="41">
        <v>0</v>
      </c>
      <c r="K25" s="41">
        <v>0</v>
      </c>
      <c r="L25" s="41">
        <v>77700</v>
      </c>
      <c r="M25" s="29">
        <v>0</v>
      </c>
      <c r="N25" s="29">
        <v>0</v>
      </c>
      <c r="O25" s="29">
        <v>119996.06</v>
      </c>
      <c r="P25" s="30"/>
    </row>
    <row r="26" spans="1:20" ht="13.5" customHeight="1">
      <c r="A26" s="260"/>
      <c r="B26" s="40" t="s">
        <v>63</v>
      </c>
      <c r="C26" s="41">
        <v>187793</v>
      </c>
      <c r="D26" s="41">
        <v>99150</v>
      </c>
      <c r="E26" s="41">
        <v>132677</v>
      </c>
      <c r="F26" s="41">
        <v>150265</v>
      </c>
      <c r="G26" s="41">
        <v>40040</v>
      </c>
      <c r="H26" s="41">
        <v>113566</v>
      </c>
      <c r="I26" s="41">
        <v>82634</v>
      </c>
      <c r="J26" s="41">
        <v>133294</v>
      </c>
      <c r="K26" s="41">
        <v>195685</v>
      </c>
      <c r="L26" s="41">
        <v>110794</v>
      </c>
      <c r="M26" s="29">
        <v>390752</v>
      </c>
      <c r="N26" s="29">
        <v>505024</v>
      </c>
      <c r="O26" s="29">
        <v>83913.08</v>
      </c>
      <c r="P26" s="30">
        <v>15416.59</v>
      </c>
    </row>
    <row r="27" spans="1:20" ht="13.5" customHeight="1">
      <c r="A27" s="260"/>
      <c r="B27" s="40" t="s">
        <v>151</v>
      </c>
      <c r="C27" s="41">
        <v>37003</v>
      </c>
      <c r="D27" s="41">
        <v>4550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8548</v>
      </c>
      <c r="L27" s="41">
        <v>132557</v>
      </c>
      <c r="M27" s="29">
        <v>0</v>
      </c>
      <c r="N27" s="29">
        <v>244908</v>
      </c>
      <c r="O27" s="29">
        <v>525634.18999999994</v>
      </c>
      <c r="P27" s="30"/>
    </row>
    <row r="28" spans="1:20" ht="13.5" customHeight="1">
      <c r="A28" s="260"/>
      <c r="B28" s="40" t="s">
        <v>65</v>
      </c>
      <c r="C28" s="41">
        <v>523006</v>
      </c>
      <c r="D28" s="41">
        <v>702052</v>
      </c>
      <c r="E28" s="41">
        <v>694809</v>
      </c>
      <c r="F28" s="41">
        <v>2016445.82</v>
      </c>
      <c r="G28" s="41">
        <v>494763</v>
      </c>
      <c r="H28" s="41">
        <v>1557266</v>
      </c>
      <c r="I28" s="41">
        <v>212205</v>
      </c>
      <c r="J28" s="41">
        <v>307787</v>
      </c>
      <c r="K28" s="41">
        <v>69819</v>
      </c>
      <c r="L28" s="41">
        <v>507032</v>
      </c>
      <c r="M28" s="29">
        <v>241099</v>
      </c>
      <c r="N28" s="29">
        <v>467893</v>
      </c>
      <c r="O28" s="29">
        <v>138858.14000000001</v>
      </c>
      <c r="P28" s="30">
        <v>474830.69</v>
      </c>
      <c r="R28" s="45">
        <f>SUM(C28:K28)</f>
        <v>6578152.8200000003</v>
      </c>
    </row>
    <row r="29" spans="1:20" ht="13.5" customHeight="1">
      <c r="A29" s="260"/>
      <c r="B29" s="40" t="s">
        <v>66</v>
      </c>
      <c r="C29" s="41">
        <v>300</v>
      </c>
      <c r="D29" s="41">
        <v>4316</v>
      </c>
      <c r="E29" s="41">
        <v>791</v>
      </c>
      <c r="F29" s="41">
        <v>10325.93</v>
      </c>
      <c r="G29" s="41">
        <v>11283</v>
      </c>
      <c r="H29" s="41">
        <v>144</v>
      </c>
      <c r="I29" s="41">
        <v>4517</v>
      </c>
      <c r="J29" s="41">
        <v>1944</v>
      </c>
      <c r="K29" s="41">
        <v>9570</v>
      </c>
      <c r="L29" s="41">
        <v>225</v>
      </c>
      <c r="M29" s="29">
        <v>650</v>
      </c>
      <c r="N29" s="29">
        <v>8359</v>
      </c>
      <c r="O29" s="29">
        <v>36.75</v>
      </c>
      <c r="P29" s="30">
        <v>23.74</v>
      </c>
      <c r="R29" s="45">
        <f>SUM(C29:K29)</f>
        <v>43190.93</v>
      </c>
    </row>
    <row r="30" spans="1:20" ht="13.5" customHeight="1">
      <c r="A30" s="260"/>
      <c r="B30" s="40" t="s">
        <v>67</v>
      </c>
      <c r="C30" s="42">
        <v>33538</v>
      </c>
      <c r="D30" s="42">
        <v>22383</v>
      </c>
      <c r="E30" s="42">
        <v>12711</v>
      </c>
      <c r="F30" s="42">
        <v>22682.16</v>
      </c>
      <c r="G30" s="42">
        <v>42737</v>
      </c>
      <c r="H30" s="42">
        <v>17258</v>
      </c>
      <c r="I30" s="42">
        <v>5495</v>
      </c>
      <c r="J30" s="42">
        <v>8645</v>
      </c>
      <c r="K30" s="42">
        <v>4274</v>
      </c>
      <c r="L30" s="42">
        <v>3397</v>
      </c>
      <c r="M30" s="26">
        <v>0</v>
      </c>
      <c r="N30" s="26">
        <v>0</v>
      </c>
      <c r="O30" s="26">
        <v>82344.490000000005</v>
      </c>
      <c r="P30" s="27">
        <v>24071.25</v>
      </c>
      <c r="R30" s="45">
        <f>SUM(C30:K30)</f>
        <v>169723.16</v>
      </c>
      <c r="S30" s="31">
        <f>SUM(R29:R30)+R8</f>
        <v>-308658.92000000004</v>
      </c>
      <c r="T30" s="20" t="s">
        <v>68</v>
      </c>
    </row>
    <row r="31" spans="1:20" s="33" customFormat="1" ht="13.5" customHeight="1" thickBot="1">
      <c r="A31" s="256" t="s">
        <v>69</v>
      </c>
      <c r="B31" s="43"/>
      <c r="C31" s="44">
        <f>SUM(C15:C30)</f>
        <v>1532285</v>
      </c>
      <c r="D31" s="44">
        <f t="shared" ref="D31:N31" si="1">SUM(D15:D30)</f>
        <v>1773577</v>
      </c>
      <c r="E31" s="44">
        <f t="shared" si="1"/>
        <v>1748007</v>
      </c>
      <c r="F31" s="44">
        <f t="shared" si="1"/>
        <v>2811825.4600000004</v>
      </c>
      <c r="G31" s="44">
        <f t="shared" si="1"/>
        <v>980305</v>
      </c>
      <c r="H31" s="44">
        <f t="shared" si="1"/>
        <v>2373108</v>
      </c>
      <c r="I31" s="44">
        <f t="shared" si="1"/>
        <v>800179</v>
      </c>
      <c r="J31" s="44">
        <f t="shared" si="1"/>
        <v>1097932</v>
      </c>
      <c r="K31" s="44">
        <f t="shared" si="1"/>
        <v>1397604</v>
      </c>
      <c r="L31" s="44">
        <f t="shared" si="1"/>
        <v>1412676</v>
      </c>
      <c r="M31" s="44">
        <f t="shared" si="1"/>
        <v>1813651</v>
      </c>
      <c r="N31" s="44">
        <f t="shared" si="1"/>
        <v>1678433</v>
      </c>
      <c r="O31" s="44">
        <f t="shared" ref="O31:P31" si="2">SUM(O15:O30)</f>
        <v>1342384.3299999998</v>
      </c>
      <c r="P31" s="44">
        <f t="shared" si="2"/>
        <v>905184.01</v>
      </c>
      <c r="Q31" s="45">
        <f>AVERAGE(C31:O31)</f>
        <v>1597074.3684615383</v>
      </c>
      <c r="R31" s="45">
        <f>SUM(C31:K31)+SUM(C11:K13)</f>
        <v>15309879.460000001</v>
      </c>
    </row>
    <row r="32" spans="1:20" ht="13.5" customHeight="1">
      <c r="A32" s="254" t="s">
        <v>71</v>
      </c>
      <c r="B32" s="36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7"/>
      <c r="N32" s="37"/>
      <c r="O32" s="37"/>
      <c r="P32" s="39"/>
    </row>
    <row r="33" spans="1:18" ht="13.5" customHeight="1">
      <c r="A33" s="260"/>
      <c r="B33" s="40" t="s">
        <v>72</v>
      </c>
      <c r="C33" s="41">
        <v>424355</v>
      </c>
      <c r="D33" s="41">
        <v>361162</v>
      </c>
      <c r="E33" s="41">
        <v>393576</v>
      </c>
      <c r="F33" s="41">
        <v>383364.24</v>
      </c>
      <c r="G33" s="41">
        <v>309751</v>
      </c>
      <c r="H33" s="41">
        <v>650566</v>
      </c>
      <c r="I33" s="41">
        <v>259918</v>
      </c>
      <c r="J33" s="41">
        <v>281720</v>
      </c>
      <c r="K33" s="41">
        <v>315465</v>
      </c>
      <c r="L33" s="41">
        <v>472597</v>
      </c>
      <c r="M33" s="29">
        <v>326014</v>
      </c>
      <c r="N33" s="29">
        <v>534840</v>
      </c>
      <c r="O33" s="29">
        <v>271431.3</v>
      </c>
      <c r="P33" s="29">
        <f>53708.42+343637.73</f>
        <v>397346.14999999997</v>
      </c>
      <c r="R33" s="45">
        <f>SUM(C33:K33)</f>
        <v>3379877.24</v>
      </c>
    </row>
    <row r="34" spans="1:18" ht="13.5" customHeight="1">
      <c r="A34" s="260"/>
      <c r="B34" s="40" t="s">
        <v>73</v>
      </c>
      <c r="C34" s="41">
        <v>534237</v>
      </c>
      <c r="D34" s="41">
        <v>342206</v>
      </c>
      <c r="E34" s="41">
        <v>839757</v>
      </c>
      <c r="F34" s="41">
        <v>682953.81</v>
      </c>
      <c r="G34" s="41">
        <v>395578</v>
      </c>
      <c r="H34" s="41">
        <v>901440</v>
      </c>
      <c r="I34" s="41">
        <v>301709</v>
      </c>
      <c r="J34" s="41">
        <v>308359</v>
      </c>
      <c r="K34" s="41">
        <v>333879</v>
      </c>
      <c r="L34" s="41">
        <v>538631</v>
      </c>
      <c r="M34" s="29">
        <v>330396</v>
      </c>
      <c r="N34" s="29">
        <v>363751</v>
      </c>
      <c r="O34" s="29">
        <v>189602.18</v>
      </c>
      <c r="P34" s="30">
        <f>17921.79+175990.74</f>
        <v>193912.53</v>
      </c>
      <c r="R34" s="45">
        <f>SUM(C34:K34)</f>
        <v>4640118.8100000005</v>
      </c>
    </row>
    <row r="35" spans="1:18" ht="13.5" customHeight="1">
      <c r="A35" s="260"/>
      <c r="B35" s="40" t="s">
        <v>74</v>
      </c>
      <c r="C35" s="41">
        <v>34436</v>
      </c>
      <c r="D35" s="41">
        <v>83930</v>
      </c>
      <c r="E35" s="41">
        <v>128970</v>
      </c>
      <c r="F35" s="41">
        <v>80671.179999999993</v>
      </c>
      <c r="G35" s="41">
        <v>43217</v>
      </c>
      <c r="H35" s="41">
        <v>59653</v>
      </c>
      <c r="I35" s="41">
        <v>25772</v>
      </c>
      <c r="J35" s="41">
        <v>48888</v>
      </c>
      <c r="K35" s="41">
        <v>46060</v>
      </c>
      <c r="L35" s="41">
        <v>66207</v>
      </c>
      <c r="M35" s="29">
        <v>85753</v>
      </c>
      <c r="N35" s="29">
        <v>39826</v>
      </c>
      <c r="O35" s="29">
        <v>65781.350000000006</v>
      </c>
      <c r="P35" s="30">
        <f>29085.65+2334.52</f>
        <v>31420.170000000002</v>
      </c>
    </row>
    <row r="36" spans="1:18" ht="13.5" customHeight="1">
      <c r="A36" s="260"/>
      <c r="B36" s="40" t="s">
        <v>75</v>
      </c>
      <c r="C36" s="41">
        <v>72868</v>
      </c>
      <c r="D36" s="41">
        <v>97479</v>
      </c>
      <c r="E36" s="41">
        <v>66080</v>
      </c>
      <c r="F36" s="41">
        <v>133902.01999999999</v>
      </c>
      <c r="G36" s="41">
        <v>78066</v>
      </c>
      <c r="H36" s="41">
        <v>114892</v>
      </c>
      <c r="I36" s="41">
        <v>60476</v>
      </c>
      <c r="J36" s="41">
        <v>108922</v>
      </c>
      <c r="K36" s="41">
        <v>217098</v>
      </c>
      <c r="L36" s="41">
        <v>66399</v>
      </c>
      <c r="M36" s="29">
        <v>128707</v>
      </c>
      <c r="N36" s="29">
        <v>71127</v>
      </c>
      <c r="O36" s="29">
        <v>5767.15</v>
      </c>
      <c r="P36" s="30">
        <v>0</v>
      </c>
    </row>
    <row r="37" spans="1:18" ht="13.5" customHeight="1">
      <c r="A37" s="260"/>
      <c r="B37" s="40" t="s">
        <v>63</v>
      </c>
      <c r="C37" s="41">
        <v>12237</v>
      </c>
      <c r="D37" s="41">
        <v>11664</v>
      </c>
      <c r="E37" s="41">
        <v>45004</v>
      </c>
      <c r="F37" s="41">
        <v>45603.57</v>
      </c>
      <c r="G37" s="41">
        <v>2749</v>
      </c>
      <c r="H37" s="41">
        <v>13860</v>
      </c>
      <c r="I37" s="41">
        <v>10699</v>
      </c>
      <c r="J37" s="41">
        <v>14118</v>
      </c>
      <c r="K37" s="41">
        <v>64147</v>
      </c>
      <c r="L37" s="41">
        <v>38563</v>
      </c>
      <c r="M37" s="29">
        <v>175266</v>
      </c>
      <c r="N37" s="29">
        <v>0</v>
      </c>
      <c r="O37" s="29">
        <v>145783.07999999999</v>
      </c>
      <c r="P37" s="30">
        <v>11153.119999999999</v>
      </c>
    </row>
    <row r="38" spans="1:18" ht="13.5" customHeight="1">
      <c r="A38" s="260"/>
      <c r="B38" s="40" t="s">
        <v>76</v>
      </c>
      <c r="C38" s="41">
        <v>344</v>
      </c>
      <c r="D38" s="41">
        <v>56352</v>
      </c>
      <c r="E38" s="41">
        <v>0</v>
      </c>
      <c r="F38" s="41">
        <v>0</v>
      </c>
      <c r="G38" s="41">
        <v>0</v>
      </c>
      <c r="H38" s="41">
        <v>0</v>
      </c>
      <c r="I38" s="41">
        <v>0</v>
      </c>
      <c r="J38" s="41">
        <v>0</v>
      </c>
      <c r="K38" s="41">
        <v>306</v>
      </c>
      <c r="L38" s="41">
        <v>44560</v>
      </c>
      <c r="M38" s="29">
        <v>0</v>
      </c>
      <c r="N38" s="29">
        <v>0</v>
      </c>
      <c r="O38" s="29">
        <v>148172.57999999999</v>
      </c>
      <c r="P38" s="30"/>
    </row>
    <row r="39" spans="1:18" ht="13.5" customHeight="1">
      <c r="A39" s="260"/>
      <c r="B39" s="40" t="s">
        <v>77</v>
      </c>
      <c r="C39" s="41">
        <v>35483</v>
      </c>
      <c r="D39" s="41">
        <v>45420</v>
      </c>
      <c r="E39" s="41">
        <v>13833</v>
      </c>
      <c r="F39" s="41">
        <v>22120.85</v>
      </c>
      <c r="G39" s="41">
        <v>20280</v>
      </c>
      <c r="H39" s="41">
        <v>23313</v>
      </c>
      <c r="I39" s="41">
        <v>22112</v>
      </c>
      <c r="J39" s="41">
        <v>22102</v>
      </c>
      <c r="K39" s="41">
        <v>27389</v>
      </c>
      <c r="L39" s="41">
        <v>11961</v>
      </c>
      <c r="M39" s="29">
        <v>47102</v>
      </c>
      <c r="N39" s="29">
        <v>22241</v>
      </c>
      <c r="O39" s="29">
        <v>4740</v>
      </c>
      <c r="P39" s="30">
        <v>3666.24</v>
      </c>
    </row>
    <row r="40" spans="1:18" ht="13.5" customHeight="1">
      <c r="A40" s="260"/>
      <c r="B40" s="40" t="s">
        <v>56</v>
      </c>
      <c r="C40" s="41">
        <v>84992</v>
      </c>
      <c r="D40" s="41">
        <v>86619</v>
      </c>
      <c r="E40" s="41">
        <v>59650</v>
      </c>
      <c r="F40" s="41">
        <v>35840.46</v>
      </c>
      <c r="G40" s="41">
        <v>30703</v>
      </c>
      <c r="H40" s="41">
        <v>59048</v>
      </c>
      <c r="I40" s="41">
        <v>33795</v>
      </c>
      <c r="J40" s="41">
        <v>34045</v>
      </c>
      <c r="K40" s="41">
        <v>73970</v>
      </c>
      <c r="L40" s="41">
        <v>31032</v>
      </c>
      <c r="M40" s="29">
        <v>92596</v>
      </c>
      <c r="N40" s="29">
        <v>43819</v>
      </c>
      <c r="O40" s="29">
        <v>14999.419999999998</v>
      </c>
      <c r="P40" s="30">
        <v>1000</v>
      </c>
    </row>
    <row r="41" spans="1:18" ht="13.5" customHeight="1">
      <c r="A41" s="260"/>
      <c r="B41" s="40" t="s">
        <v>57</v>
      </c>
      <c r="C41" s="41">
        <v>0</v>
      </c>
      <c r="D41" s="41">
        <v>0</v>
      </c>
      <c r="E41" s="41">
        <v>18158</v>
      </c>
      <c r="F41" s="41">
        <v>0</v>
      </c>
      <c r="G41" s="41">
        <v>0</v>
      </c>
      <c r="H41" s="41">
        <v>0</v>
      </c>
      <c r="I41" s="41">
        <v>5695</v>
      </c>
      <c r="J41" s="41">
        <v>750</v>
      </c>
      <c r="K41" s="41">
        <v>0</v>
      </c>
      <c r="L41" s="41">
        <v>21899</v>
      </c>
      <c r="M41" s="29">
        <v>0</v>
      </c>
      <c r="N41" s="29">
        <v>5052</v>
      </c>
      <c r="O41" s="29">
        <v>0</v>
      </c>
      <c r="P41" s="30">
        <v>0</v>
      </c>
    </row>
    <row r="42" spans="1:18" ht="13.5" customHeight="1">
      <c r="A42" s="260"/>
      <c r="B42" s="40" t="s">
        <v>58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29">
        <v>528656</v>
      </c>
      <c r="N42" s="29">
        <v>0</v>
      </c>
      <c r="O42" s="29">
        <v>0</v>
      </c>
      <c r="P42" s="30">
        <v>0</v>
      </c>
    </row>
    <row r="43" spans="1:18" ht="13.5" customHeight="1">
      <c r="A43" s="260"/>
      <c r="B43" s="40" t="s">
        <v>59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53639</v>
      </c>
      <c r="J43" s="41">
        <v>0</v>
      </c>
      <c r="K43" s="41">
        <v>0</v>
      </c>
      <c r="L43" s="41">
        <v>0</v>
      </c>
      <c r="M43" s="29">
        <v>0</v>
      </c>
      <c r="N43" s="29">
        <v>0</v>
      </c>
      <c r="O43" s="29">
        <v>0</v>
      </c>
      <c r="P43" s="30">
        <v>0</v>
      </c>
    </row>
    <row r="44" spans="1:18" ht="13.5" customHeight="1">
      <c r="A44" s="260"/>
      <c r="B44" s="40" t="s">
        <v>78</v>
      </c>
      <c r="C44" s="41">
        <v>153739</v>
      </c>
      <c r="D44" s="41">
        <v>500593</v>
      </c>
      <c r="E44" s="41">
        <v>146331</v>
      </c>
      <c r="F44" s="41">
        <v>406888.7</v>
      </c>
      <c r="G44" s="41">
        <v>86727</v>
      </c>
      <c r="H44" s="41">
        <v>278642</v>
      </c>
      <c r="I44" s="41">
        <v>64933</v>
      </c>
      <c r="J44" s="41">
        <v>122914</v>
      </c>
      <c r="K44" s="41">
        <v>138932</v>
      </c>
      <c r="L44" s="41">
        <v>96019</v>
      </c>
      <c r="M44" s="29">
        <v>113059</v>
      </c>
      <c r="N44" s="29">
        <v>144938</v>
      </c>
      <c r="O44" s="29">
        <v>187202.59</v>
      </c>
      <c r="P44" s="30">
        <v>54999.37</v>
      </c>
    </row>
    <row r="45" spans="1:18" ht="13.5" customHeight="1">
      <c r="A45" s="260"/>
      <c r="B45" s="40" t="s">
        <v>61</v>
      </c>
      <c r="C45" s="41">
        <v>0</v>
      </c>
      <c r="D45" s="41">
        <v>6221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29">
        <v>0</v>
      </c>
      <c r="N45" s="29">
        <v>0</v>
      </c>
      <c r="O45" s="29">
        <v>51244.3</v>
      </c>
      <c r="P45" s="30">
        <v>275168.34999999998</v>
      </c>
    </row>
    <row r="46" spans="1:18" ht="13.5" customHeight="1">
      <c r="A46" s="260"/>
      <c r="B46" s="40" t="s">
        <v>79</v>
      </c>
      <c r="C46" s="41">
        <v>0</v>
      </c>
      <c r="D46" s="41">
        <v>0</v>
      </c>
      <c r="E46" s="41">
        <v>42081</v>
      </c>
      <c r="F46" s="41">
        <v>0</v>
      </c>
      <c r="G46" s="41">
        <v>31208</v>
      </c>
      <c r="H46" s="41">
        <v>0</v>
      </c>
      <c r="I46" s="41">
        <v>0</v>
      </c>
      <c r="J46" s="41">
        <v>0</v>
      </c>
      <c r="K46" s="41">
        <v>0</v>
      </c>
      <c r="L46" s="41">
        <v>29597</v>
      </c>
      <c r="M46" s="29">
        <v>0</v>
      </c>
      <c r="N46" s="29">
        <v>287289</v>
      </c>
      <c r="O46" s="29">
        <v>175842.90000000002</v>
      </c>
      <c r="P46" s="30">
        <v>1000</v>
      </c>
    </row>
    <row r="47" spans="1:18" ht="13.5" customHeight="1">
      <c r="A47" s="260"/>
      <c r="B47" s="40" t="s">
        <v>80</v>
      </c>
      <c r="C47" s="41">
        <v>28095</v>
      </c>
      <c r="D47" s="41">
        <v>15016</v>
      </c>
      <c r="E47" s="41">
        <v>3364</v>
      </c>
      <c r="F47" s="41">
        <v>39135.129999999997</v>
      </c>
      <c r="G47" s="41">
        <v>0</v>
      </c>
      <c r="H47" s="41">
        <v>29463</v>
      </c>
      <c r="I47" s="41">
        <v>0</v>
      </c>
      <c r="J47" s="41">
        <v>6588</v>
      </c>
      <c r="K47" s="41">
        <v>0</v>
      </c>
      <c r="L47" s="41">
        <v>1571</v>
      </c>
      <c r="M47" s="29">
        <v>0</v>
      </c>
      <c r="N47" s="29">
        <v>0</v>
      </c>
      <c r="O47" s="29">
        <v>13637.62</v>
      </c>
      <c r="P47" s="30">
        <v>0</v>
      </c>
    </row>
    <row r="48" spans="1:18" ht="13.5" customHeight="1">
      <c r="A48" s="260"/>
      <c r="B48" s="40" t="s">
        <v>81</v>
      </c>
      <c r="C48" s="41">
        <v>-425</v>
      </c>
      <c r="D48" s="41">
        <v>-1268</v>
      </c>
      <c r="E48" s="41">
        <v>59271</v>
      </c>
      <c r="F48" s="41">
        <v>-3770.44</v>
      </c>
      <c r="G48" s="41">
        <v>-5266</v>
      </c>
      <c r="H48" s="41">
        <v>-179</v>
      </c>
      <c r="I48" s="41">
        <v>-35</v>
      </c>
      <c r="J48" s="41">
        <v>9305</v>
      </c>
      <c r="K48" s="41">
        <v>-41298</v>
      </c>
      <c r="L48" s="41">
        <v>-1893</v>
      </c>
      <c r="M48" s="29">
        <v>19663</v>
      </c>
      <c r="N48" s="29">
        <v>15102</v>
      </c>
      <c r="O48" s="29">
        <v>7208.79</v>
      </c>
      <c r="P48" s="30">
        <v>0</v>
      </c>
    </row>
    <row r="49" spans="1:18" ht="13.5" customHeight="1">
      <c r="A49" s="260"/>
      <c r="B49" s="40" t="s">
        <v>82</v>
      </c>
      <c r="C49" s="41">
        <v>419</v>
      </c>
      <c r="D49" s="41">
        <v>-120</v>
      </c>
      <c r="E49" s="41">
        <v>63</v>
      </c>
      <c r="F49" s="41">
        <v>870.25</v>
      </c>
      <c r="G49" s="41">
        <v>1817</v>
      </c>
      <c r="H49" s="41">
        <v>-99</v>
      </c>
      <c r="I49" s="41">
        <v>0</v>
      </c>
      <c r="J49" s="41">
        <v>946</v>
      </c>
      <c r="K49" s="41">
        <v>945</v>
      </c>
      <c r="L49" s="41">
        <v>424</v>
      </c>
      <c r="M49" s="29">
        <v>-358</v>
      </c>
      <c r="N49" s="29">
        <v>307</v>
      </c>
      <c r="O49" s="29">
        <v>-929.53</v>
      </c>
      <c r="P49" s="30">
        <v>120.95</v>
      </c>
    </row>
    <row r="50" spans="1:18" ht="13.5" customHeight="1">
      <c r="A50" s="260"/>
      <c r="B50" s="40" t="s">
        <v>83</v>
      </c>
      <c r="C50" s="41">
        <v>0</v>
      </c>
      <c r="D50" s="41"/>
      <c r="E50" s="41">
        <v>0</v>
      </c>
      <c r="F50" s="41">
        <v>18832.97</v>
      </c>
      <c r="G50" s="41">
        <v>0</v>
      </c>
      <c r="H50" s="41">
        <v>0</v>
      </c>
      <c r="I50" s="41">
        <v>2189</v>
      </c>
      <c r="J50" s="41">
        <v>0</v>
      </c>
      <c r="K50" s="41">
        <v>0</v>
      </c>
      <c r="L50" s="41">
        <v>0</v>
      </c>
      <c r="M50" s="29">
        <v>0</v>
      </c>
      <c r="N50" s="29">
        <v>0</v>
      </c>
      <c r="O50" s="29">
        <v>0</v>
      </c>
      <c r="P50" s="30">
        <f>29244.13+57406.37</f>
        <v>86650.5</v>
      </c>
    </row>
    <row r="51" spans="1:18" s="33" customFormat="1" ht="13.5" customHeight="1" thickBot="1">
      <c r="A51" s="256" t="s">
        <v>84</v>
      </c>
      <c r="B51" s="43"/>
      <c r="C51" s="46">
        <f t="shared" ref="C51" si="3">SUM(C33:C50)</f>
        <v>1380780</v>
      </c>
      <c r="D51" s="44">
        <f t="shared" ref="D51:N51" si="4">SUM(D33:D50)</f>
        <v>1605274</v>
      </c>
      <c r="E51" s="44">
        <f t="shared" si="4"/>
        <v>1816138</v>
      </c>
      <c r="F51" s="44">
        <f t="shared" si="4"/>
        <v>1846412.74</v>
      </c>
      <c r="G51" s="44">
        <f t="shared" si="4"/>
        <v>994830</v>
      </c>
      <c r="H51" s="44">
        <f t="shared" si="4"/>
        <v>2130599</v>
      </c>
      <c r="I51" s="44">
        <f t="shared" si="4"/>
        <v>840902</v>
      </c>
      <c r="J51" s="44">
        <f t="shared" si="4"/>
        <v>958657</v>
      </c>
      <c r="K51" s="44">
        <f t="shared" si="4"/>
        <v>1176893</v>
      </c>
      <c r="L51" s="44">
        <f t="shared" si="4"/>
        <v>1417567</v>
      </c>
      <c r="M51" s="44">
        <f t="shared" si="4"/>
        <v>1846854</v>
      </c>
      <c r="N51" s="44">
        <f t="shared" si="4"/>
        <v>1528292</v>
      </c>
      <c r="O51" s="44">
        <f t="shared" ref="O51:P51" si="5">SUM(O33:O50)</f>
        <v>1280483.7300000002</v>
      </c>
      <c r="P51" s="44">
        <f t="shared" si="5"/>
        <v>1056437.3799999999</v>
      </c>
      <c r="Q51" s="45">
        <f>AVERAGE(C51:O51)</f>
        <v>1447975.5746153849</v>
      </c>
      <c r="R51" s="45">
        <f>+SUM(C51:K51)+SUM(C53:K53)</f>
        <v>13929164.640000001</v>
      </c>
    </row>
    <row r="52" spans="1:18" ht="13.5" customHeight="1">
      <c r="A52" s="254" t="s">
        <v>85</v>
      </c>
      <c r="B52" s="36"/>
      <c r="C52" s="26"/>
      <c r="D52" s="42"/>
      <c r="E52" s="42"/>
      <c r="F52" s="42"/>
      <c r="G52" s="42"/>
      <c r="H52" s="42"/>
      <c r="I52" s="42"/>
      <c r="J52" s="42"/>
      <c r="K52" s="42"/>
      <c r="L52" s="42"/>
      <c r="M52" s="26"/>
      <c r="N52" s="26"/>
      <c r="O52" s="26"/>
      <c r="P52" s="90"/>
    </row>
    <row r="53" spans="1:18" s="33" customFormat="1" ht="13.5" customHeight="1">
      <c r="A53" s="258"/>
      <c r="B53" s="34" t="s">
        <v>86</v>
      </c>
      <c r="C53" s="35">
        <v>239980</v>
      </c>
      <c r="D53" s="35">
        <v>82784</v>
      </c>
      <c r="E53" s="35">
        <v>119748</v>
      </c>
      <c r="F53" s="35">
        <v>242822.9</v>
      </c>
      <c r="G53" s="35">
        <v>95966</v>
      </c>
      <c r="H53" s="35">
        <v>112701</v>
      </c>
      <c r="I53" s="35">
        <v>159646</v>
      </c>
      <c r="J53" s="35">
        <v>53724</v>
      </c>
      <c r="K53" s="35">
        <v>71307</v>
      </c>
      <c r="L53" s="35">
        <v>113555</v>
      </c>
      <c r="M53" s="35">
        <v>76829</v>
      </c>
      <c r="N53" s="35">
        <v>321942.99</v>
      </c>
      <c r="O53" s="35">
        <v>117231.22</v>
      </c>
      <c r="P53" s="35">
        <v>58294</v>
      </c>
      <c r="R53" s="45">
        <f>SUM(C53:K53)</f>
        <v>1178678.8999999999</v>
      </c>
    </row>
    <row r="54" spans="1:18" s="33" customFormat="1" ht="13.5" customHeight="1">
      <c r="A54" s="261"/>
      <c r="B54" s="47" t="s">
        <v>207</v>
      </c>
      <c r="C54" s="35">
        <v>627434</v>
      </c>
      <c r="D54" s="53">
        <v>604221</v>
      </c>
      <c r="E54" s="53">
        <v>347094</v>
      </c>
      <c r="F54" s="53">
        <v>75981.320000000007</v>
      </c>
      <c r="G54" s="53">
        <v>637138</v>
      </c>
      <c r="H54" s="53">
        <v>752360</v>
      </c>
      <c r="I54" s="53">
        <v>49008</v>
      </c>
      <c r="J54" s="53">
        <v>400901</v>
      </c>
      <c r="K54" s="53">
        <v>581279</v>
      </c>
      <c r="L54" s="53">
        <v>0</v>
      </c>
      <c r="M54" s="53">
        <v>0</v>
      </c>
      <c r="N54" s="53">
        <v>0</v>
      </c>
      <c r="O54" s="53">
        <v>2951</v>
      </c>
      <c r="P54" s="53">
        <v>0</v>
      </c>
      <c r="R54" s="45">
        <f>SUM(C54:K54)</f>
        <v>4075416.3200000003</v>
      </c>
    </row>
    <row r="55" spans="1:18" s="33" customFormat="1" ht="13.5" customHeight="1">
      <c r="A55" s="257" t="s">
        <v>208</v>
      </c>
      <c r="B55" s="47"/>
      <c r="C55" s="35">
        <f t="shared" ref="C55:F55" si="6">+C31-C51</f>
        <v>151505</v>
      </c>
      <c r="D55" s="35">
        <f t="shared" si="6"/>
        <v>168303</v>
      </c>
      <c r="E55" s="35">
        <f t="shared" si="6"/>
        <v>-68131</v>
      </c>
      <c r="F55" s="35">
        <f t="shared" si="6"/>
        <v>965412.72000000044</v>
      </c>
      <c r="G55" s="35">
        <f t="shared" ref="G55" si="7">+G31-G51</f>
        <v>-14525</v>
      </c>
      <c r="H55" s="35">
        <f t="shared" ref="H55:N55" si="8">+H31-H51</f>
        <v>242509</v>
      </c>
      <c r="I55" s="35">
        <f t="shared" si="8"/>
        <v>-40723</v>
      </c>
      <c r="J55" s="35">
        <f t="shared" si="8"/>
        <v>139275</v>
      </c>
      <c r="K55" s="35">
        <f t="shared" si="8"/>
        <v>220711</v>
      </c>
      <c r="L55" s="35">
        <f t="shared" si="8"/>
        <v>-4891</v>
      </c>
      <c r="M55" s="35">
        <f t="shared" si="8"/>
        <v>-33203</v>
      </c>
      <c r="N55" s="35">
        <f t="shared" si="8"/>
        <v>150141</v>
      </c>
      <c r="O55" s="35">
        <f t="shared" ref="O55:P55" si="9">+O31-O51</f>
        <v>61900.599999999627</v>
      </c>
      <c r="P55" s="35">
        <f t="shared" si="9"/>
        <v>-151253.36999999988</v>
      </c>
      <c r="Q55" s="45">
        <f>AVERAGE(C55:P55)</f>
        <v>127645.06785714287</v>
      </c>
    </row>
    <row r="56" spans="1:18" s="33" customFormat="1" ht="13.5" customHeight="1">
      <c r="A56" s="257" t="s">
        <v>209</v>
      </c>
      <c r="B56" s="47"/>
      <c r="C56" s="35">
        <f>+C31-C51-C53-C54</f>
        <v>-715909</v>
      </c>
      <c r="D56" s="35">
        <f t="shared" ref="D56:F56" si="10">+D31-D51-D53-D54</f>
        <v>-518702</v>
      </c>
      <c r="E56" s="35">
        <f t="shared" si="10"/>
        <v>-534973</v>
      </c>
      <c r="F56" s="35">
        <f t="shared" si="10"/>
        <v>646608.50000000047</v>
      </c>
      <c r="G56" s="35">
        <f t="shared" ref="G56" si="11">+G31-G51-G53-G54</f>
        <v>-747629</v>
      </c>
      <c r="H56" s="35">
        <f t="shared" ref="H56:N56" si="12">+H31-H51-H53-H54</f>
        <v>-622552</v>
      </c>
      <c r="I56" s="35">
        <f t="shared" si="12"/>
        <v>-249377</v>
      </c>
      <c r="J56" s="35">
        <f t="shared" si="12"/>
        <v>-315350</v>
      </c>
      <c r="K56" s="35">
        <f t="shared" si="12"/>
        <v>-431875</v>
      </c>
      <c r="L56" s="35">
        <f t="shared" si="12"/>
        <v>-118446</v>
      </c>
      <c r="M56" s="35">
        <f t="shared" si="12"/>
        <v>-110032</v>
      </c>
      <c r="N56" s="35">
        <f t="shared" si="12"/>
        <v>-171801.99</v>
      </c>
      <c r="O56" s="35">
        <f t="shared" ref="O56:P56" si="13">+O31-O51-O53-O54</f>
        <v>-58281.620000000374</v>
      </c>
      <c r="P56" s="35">
        <f t="shared" si="13"/>
        <v>-209547.36999999988</v>
      </c>
      <c r="Q56" s="45">
        <f>AVERAGE(C56:P56)</f>
        <v>-296990.53428571427</v>
      </c>
    </row>
    <row r="57" spans="1:18" s="33" customFormat="1" ht="13.5" customHeight="1">
      <c r="A57" s="257" t="s">
        <v>210</v>
      </c>
      <c r="B57" s="47"/>
      <c r="C57" s="35">
        <f t="shared" ref="C57:F57" si="14">+C11+C12+C13+C31+-C51</f>
        <v>203114</v>
      </c>
      <c r="D57" s="35">
        <f t="shared" si="14"/>
        <v>208912</v>
      </c>
      <c r="E57" s="35">
        <f t="shared" si="14"/>
        <v>119394</v>
      </c>
      <c r="F57" s="35">
        <f t="shared" si="14"/>
        <v>1006021.7200000004</v>
      </c>
      <c r="G57" s="35">
        <f t="shared" ref="G57" si="15">+G11+G12+G13+G31+-G51</f>
        <v>131409</v>
      </c>
      <c r="H57" s="35">
        <f t="shared" ref="H57:N57" si="16">+H11+H12+H13+H31+-H51</f>
        <v>310057</v>
      </c>
      <c r="I57" s="35">
        <f t="shared" si="16"/>
        <v>43660</v>
      </c>
      <c r="J57" s="35">
        <f t="shared" si="16"/>
        <v>179884</v>
      </c>
      <c r="K57" s="35">
        <f t="shared" si="16"/>
        <v>356942</v>
      </c>
      <c r="L57" s="35">
        <f t="shared" si="16"/>
        <v>35718</v>
      </c>
      <c r="M57" s="35">
        <f t="shared" si="16"/>
        <v>4987</v>
      </c>
      <c r="N57" s="35">
        <f t="shared" si="16"/>
        <v>190787.24</v>
      </c>
      <c r="O57" s="35">
        <f t="shared" ref="O57:P57" si="17">+O11+O12+O13+O31+-O51</f>
        <v>244591.22999999975</v>
      </c>
      <c r="P57" s="35">
        <f t="shared" si="17"/>
        <v>-26703.369999999879</v>
      </c>
      <c r="Q57" s="45">
        <f>AVERAGE(D57:P57)</f>
        <v>215819.98615384617</v>
      </c>
    </row>
    <row r="58" spans="1:18" s="33" customFormat="1" ht="13.5" customHeight="1">
      <c r="A58" s="257" t="s">
        <v>211</v>
      </c>
      <c r="B58" s="47"/>
      <c r="C58" s="35">
        <f>+C11+C12+C13+C31-C51-C53-C54</f>
        <v>-664300</v>
      </c>
      <c r="D58" s="35">
        <f t="shared" ref="D58:F58" si="18">+D11+D12+D13+D31-D51-D53-D54</f>
        <v>-478093</v>
      </c>
      <c r="E58" s="35">
        <f t="shared" si="18"/>
        <v>-347448</v>
      </c>
      <c r="F58" s="35">
        <f t="shared" si="18"/>
        <v>687217.50000000047</v>
      </c>
      <c r="G58" s="35">
        <f t="shared" ref="G58" si="19">+G11+G12+G13+G31-G51-G53-G54</f>
        <v>-601695</v>
      </c>
      <c r="H58" s="35">
        <f t="shared" ref="H58:N58" si="20">+H11+H12+H13+H31-H51-H53-H54</f>
        <v>-555004</v>
      </c>
      <c r="I58" s="35">
        <f t="shared" si="20"/>
        <v>-164994</v>
      </c>
      <c r="J58" s="35">
        <f t="shared" si="20"/>
        <v>-274741</v>
      </c>
      <c r="K58" s="35">
        <f t="shared" si="20"/>
        <v>-295644</v>
      </c>
      <c r="L58" s="35">
        <f t="shared" si="20"/>
        <v>-77837</v>
      </c>
      <c r="M58" s="35">
        <f t="shared" si="20"/>
        <v>-71842</v>
      </c>
      <c r="N58" s="35">
        <f t="shared" si="20"/>
        <v>-131155.75</v>
      </c>
      <c r="O58" s="35">
        <f t="shared" ref="O58:P58" si="21">+O11+O12+O13+O31-O51-O53-O54</f>
        <v>124409.00999999975</v>
      </c>
      <c r="P58" s="35">
        <f t="shared" si="21"/>
        <v>-84997.369999999879</v>
      </c>
      <c r="Q58" s="45">
        <f>AVERAGE(C58:P58)</f>
        <v>-209723.18642857138</v>
      </c>
      <c r="R58" s="45">
        <f>SUM(C58:K58)</f>
        <v>-2694701.4999999995</v>
      </c>
    </row>
    <row r="59" spans="1:18" ht="13.5" customHeight="1">
      <c r="A59" s="255" t="s">
        <v>206</v>
      </c>
      <c r="B59" s="22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8"/>
      <c r="N59" s="48"/>
      <c r="O59" s="48"/>
      <c r="P59" s="49"/>
    </row>
    <row r="60" spans="1:18" ht="13.5" customHeight="1">
      <c r="A60" s="254"/>
      <c r="B60" s="36" t="s">
        <v>42</v>
      </c>
      <c r="C60" s="42">
        <v>493921</v>
      </c>
      <c r="D60" s="42">
        <v>1844656.2</v>
      </c>
      <c r="E60" s="27">
        <v>220561</v>
      </c>
      <c r="F60" s="27">
        <v>2614828.77</v>
      </c>
      <c r="G60" s="27">
        <v>163208</v>
      </c>
      <c r="H60" s="27">
        <v>156876</v>
      </c>
      <c r="I60" s="26">
        <v>229400</v>
      </c>
      <c r="J60" s="42">
        <v>626935</v>
      </c>
      <c r="K60" s="26">
        <v>1178906</v>
      </c>
      <c r="L60" s="27">
        <v>482132</v>
      </c>
      <c r="M60" s="26">
        <v>209343</v>
      </c>
      <c r="N60" s="26">
        <v>1009605</v>
      </c>
      <c r="O60" s="26">
        <v>112095.71</v>
      </c>
      <c r="P60" s="27">
        <v>-39294.800000000003</v>
      </c>
      <c r="Q60" s="107">
        <f>SUM(C60:P60)/13</f>
        <v>715628.68307692313</v>
      </c>
    </row>
    <row r="61" spans="1:18" ht="13.5" customHeight="1">
      <c r="A61" s="254"/>
      <c r="B61" s="36" t="s">
        <v>220</v>
      </c>
      <c r="C61" s="42">
        <v>-563053</v>
      </c>
      <c r="D61" s="42">
        <v>-550757.46</v>
      </c>
      <c r="E61" s="27">
        <v>-295094</v>
      </c>
      <c r="F61" s="27">
        <v>-527087.68999999994</v>
      </c>
      <c r="G61" s="27">
        <v>-604454</v>
      </c>
      <c r="H61" s="27">
        <v>-671144</v>
      </c>
      <c r="I61" s="26">
        <v>5716</v>
      </c>
      <c r="J61" s="42">
        <v>-336330</v>
      </c>
      <c r="K61" s="26">
        <v>-471988</v>
      </c>
      <c r="L61" s="27">
        <v>0</v>
      </c>
      <c r="M61" s="26">
        <v>0</v>
      </c>
      <c r="N61" s="26">
        <v>0</v>
      </c>
      <c r="O61" s="26">
        <v>-297653</v>
      </c>
      <c r="P61" s="27">
        <v>0</v>
      </c>
      <c r="Q61" s="107"/>
    </row>
    <row r="62" spans="1:18" ht="13.5" customHeight="1">
      <c r="A62" s="254"/>
      <c r="B62" s="36" t="s">
        <v>43</v>
      </c>
      <c r="C62" s="42">
        <v>0</v>
      </c>
      <c r="D62" s="42">
        <v>0</v>
      </c>
      <c r="E62" s="27">
        <v>0</v>
      </c>
      <c r="F62" s="27">
        <v>0</v>
      </c>
      <c r="G62" s="27">
        <v>0</v>
      </c>
      <c r="H62" s="27">
        <v>0</v>
      </c>
      <c r="I62" s="26">
        <v>0</v>
      </c>
      <c r="J62" s="42">
        <v>0</v>
      </c>
      <c r="K62" s="26">
        <v>0</v>
      </c>
      <c r="L62" s="27">
        <v>0</v>
      </c>
      <c r="M62" s="26">
        <v>0</v>
      </c>
      <c r="N62" s="26">
        <v>0</v>
      </c>
      <c r="O62" s="26">
        <v>1786.26</v>
      </c>
      <c r="P62" s="27">
        <v>0</v>
      </c>
      <c r="Q62" s="31">
        <f>MAX(C60:O60)</f>
        <v>2614828.77</v>
      </c>
    </row>
    <row r="63" spans="1:18" s="51" customFormat="1" ht="13.5" customHeight="1">
      <c r="A63" s="254"/>
      <c r="B63" s="36" t="s">
        <v>44</v>
      </c>
      <c r="C63" s="42">
        <v>2992833</v>
      </c>
      <c r="D63" s="42">
        <v>806087</v>
      </c>
      <c r="E63" s="27">
        <v>1967828</v>
      </c>
      <c r="F63" s="27">
        <v>5792429.4199999999</v>
      </c>
      <c r="G63" s="27">
        <v>1611118</v>
      </c>
      <c r="H63" s="27">
        <v>2787784</v>
      </c>
      <c r="I63" s="26">
        <v>2561985</v>
      </c>
      <c r="J63" s="42">
        <v>723318</v>
      </c>
      <c r="K63" s="26">
        <v>1253504</v>
      </c>
      <c r="L63" s="27">
        <v>1492399</v>
      </c>
      <c r="M63" s="26">
        <v>1046637</v>
      </c>
      <c r="N63" s="26">
        <v>5826806</v>
      </c>
      <c r="O63" s="26">
        <v>1330784.3600000001</v>
      </c>
      <c r="P63" s="27">
        <v>734874</v>
      </c>
      <c r="Q63" s="117">
        <f>MIN(C60:O60)</f>
        <v>112095.71</v>
      </c>
    </row>
    <row r="64" spans="1:18" s="33" customFormat="1" ht="13.5" customHeight="1">
      <c r="A64" s="257"/>
      <c r="B64" s="52" t="s">
        <v>46</v>
      </c>
      <c r="C64" s="68">
        <f t="shared" ref="C64:N64" si="22">SUM(C60:C63)</f>
        <v>2923701</v>
      </c>
      <c r="D64" s="68">
        <f t="shared" si="22"/>
        <v>2099985.7400000002</v>
      </c>
      <c r="E64" s="68">
        <f t="shared" si="22"/>
        <v>1893295</v>
      </c>
      <c r="F64" s="68">
        <f t="shared" si="22"/>
        <v>7880170.5</v>
      </c>
      <c r="G64" s="68">
        <f t="shared" ref="G64" si="23">SUM(G60:G63)</f>
        <v>1169872</v>
      </c>
      <c r="H64" s="68">
        <f t="shared" si="22"/>
        <v>2273516</v>
      </c>
      <c r="I64" s="68">
        <f t="shared" si="22"/>
        <v>2797101</v>
      </c>
      <c r="J64" s="68">
        <f t="shared" si="22"/>
        <v>1013923</v>
      </c>
      <c r="K64" s="68">
        <f t="shared" si="22"/>
        <v>1960422</v>
      </c>
      <c r="L64" s="68">
        <f t="shared" si="22"/>
        <v>1974531</v>
      </c>
      <c r="M64" s="68">
        <f t="shared" si="22"/>
        <v>1255980</v>
      </c>
      <c r="N64" s="68">
        <f t="shared" si="22"/>
        <v>6836411</v>
      </c>
      <c r="O64" s="68">
        <f t="shared" ref="O64:P64" si="24">SUM(O60:O63)</f>
        <v>1147013.33</v>
      </c>
      <c r="P64" s="68">
        <f t="shared" si="24"/>
        <v>695579.2</v>
      </c>
    </row>
    <row r="65" spans="1:17" s="230" customFormat="1" ht="13.5" customHeight="1">
      <c r="A65" s="263" t="s">
        <v>87</v>
      </c>
      <c r="B65" s="224"/>
      <c r="C65" s="277">
        <f>C60/(C51)</f>
        <v>0.35771158330798536</v>
      </c>
      <c r="D65" s="277">
        <f t="shared" ref="D65:N65" si="25">D60/(D51)</f>
        <v>1.1491223305180298</v>
      </c>
      <c r="E65" s="277">
        <f t="shared" si="25"/>
        <v>0.12144506639913927</v>
      </c>
      <c r="F65" s="277">
        <f t="shared" si="25"/>
        <v>1.4161669887524715</v>
      </c>
      <c r="G65" s="277">
        <f t="shared" ref="G65" si="26">G60/(G51)</f>
        <v>0.16405617040097303</v>
      </c>
      <c r="H65" s="277">
        <f>H60/(H51)</f>
        <v>7.3629997948933615E-2</v>
      </c>
      <c r="I65" s="277">
        <f t="shared" si="25"/>
        <v>0.2728023003869654</v>
      </c>
      <c r="J65" s="277">
        <f t="shared" si="25"/>
        <v>0.65397217148573472</v>
      </c>
      <c r="K65" s="277">
        <f t="shared" si="25"/>
        <v>1.0017104358680016</v>
      </c>
      <c r="L65" s="277">
        <f t="shared" si="25"/>
        <v>0.34011231920607632</v>
      </c>
      <c r="M65" s="277">
        <f t="shared" si="25"/>
        <v>0.11335113658145149</v>
      </c>
      <c r="N65" s="277">
        <f t="shared" si="25"/>
        <v>0.6606100143166358</v>
      </c>
      <c r="O65" s="277">
        <f t="shared" ref="O65:P65" si="27">O60/(O51)</f>
        <v>8.7541690201717745E-2</v>
      </c>
      <c r="P65" s="277">
        <f t="shared" si="27"/>
        <v>-3.7195578975064293E-2</v>
      </c>
      <c r="Q65" s="231">
        <f>AVERAGE(C65:O65)</f>
        <v>0.49324863118262424</v>
      </c>
    </row>
    <row r="66" spans="1:17" s="122" customFormat="1" hidden="1">
      <c r="A66" s="222"/>
      <c r="B66" s="62" t="s">
        <v>88</v>
      </c>
      <c r="C66" s="58">
        <f>+C9+C11+C12+C13+C31-C51-C53-C64-C54</f>
        <v>2</v>
      </c>
      <c r="D66" s="58">
        <f t="shared" ref="D66:N66" si="28">+D9+D11+D12+D13+D31-D51-D53-D64-D54</f>
        <v>-0.16999999992549419</v>
      </c>
      <c r="E66" s="58">
        <f t="shared" si="28"/>
        <v>-2</v>
      </c>
      <c r="F66" s="58">
        <f t="shared" si="28"/>
        <v>-9.9999994854442775E-3</v>
      </c>
      <c r="G66" s="58">
        <f t="shared" si="28"/>
        <v>2</v>
      </c>
      <c r="H66" s="58">
        <f t="shared" si="28"/>
        <v>-1</v>
      </c>
      <c r="I66" s="58">
        <f t="shared" si="28"/>
        <v>0</v>
      </c>
      <c r="J66" s="58">
        <f t="shared" si="28"/>
        <v>-2</v>
      </c>
      <c r="K66" s="58">
        <f t="shared" si="28"/>
        <v>-1</v>
      </c>
      <c r="L66" s="58">
        <f t="shared" si="28"/>
        <v>2</v>
      </c>
      <c r="M66" s="58">
        <f t="shared" si="28"/>
        <v>1</v>
      </c>
      <c r="N66" s="58">
        <f t="shared" si="28"/>
        <v>-0.75</v>
      </c>
      <c r="O66" s="58">
        <f t="shared" ref="O66:P66" si="29">+O9+O11+O12+O13+O31-O51-O53-O64-O54</f>
        <v>0</v>
      </c>
      <c r="P66" s="80">
        <f t="shared" si="29"/>
        <v>-0.18999999971129</v>
      </c>
      <c r="Q66" s="228">
        <f>MAX(C65:O65)</f>
        <v>1.4161669887524715</v>
      </c>
    </row>
    <row r="67" spans="1:17" s="96" customFormat="1" hidden="1">
      <c r="A67" s="234"/>
      <c r="B67" s="234"/>
      <c r="C67" s="161">
        <f t="shared" ref="C67:N67" si="30">+C9+C58-C64</f>
        <v>2</v>
      </c>
      <c r="D67" s="161">
        <f t="shared" si="30"/>
        <v>-0.17000000039115548</v>
      </c>
      <c r="E67" s="94">
        <f t="shared" si="30"/>
        <v>-2</v>
      </c>
      <c r="F67" s="94">
        <f t="shared" si="30"/>
        <v>-9.9999997764825821E-3</v>
      </c>
      <c r="G67" s="94">
        <f t="shared" si="30"/>
        <v>2</v>
      </c>
      <c r="H67" s="94">
        <f>+H9+H58-H64</f>
        <v>-1</v>
      </c>
      <c r="I67" s="94">
        <f t="shared" si="30"/>
        <v>0</v>
      </c>
      <c r="J67" s="94">
        <f t="shared" si="30"/>
        <v>-2</v>
      </c>
      <c r="K67" s="94">
        <f t="shared" si="30"/>
        <v>-1</v>
      </c>
      <c r="L67" s="94">
        <f t="shared" si="30"/>
        <v>2</v>
      </c>
      <c r="M67" s="94">
        <f t="shared" si="30"/>
        <v>1</v>
      </c>
      <c r="N67" s="94">
        <f t="shared" si="30"/>
        <v>-0.75</v>
      </c>
      <c r="O67" s="94">
        <f t="shared" ref="O67:P67" si="31">+O9+O58-O64</f>
        <v>0</v>
      </c>
      <c r="P67" s="94">
        <f t="shared" si="31"/>
        <v>-0.18999999982770532</v>
      </c>
      <c r="Q67" s="95"/>
    </row>
    <row r="68" spans="1:17" s="96" customFormat="1" ht="13.5" customHeight="1">
      <c r="A68" s="234"/>
      <c r="B68" s="234"/>
      <c r="C68" s="161"/>
      <c r="D68" s="161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5"/>
    </row>
    <row r="69" spans="1:17" s="51" customFormat="1" ht="13.5" customHeight="1">
      <c r="A69" s="213" t="s">
        <v>199</v>
      </c>
      <c r="B69" s="63"/>
      <c r="C69" s="157"/>
      <c r="D69" s="157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94"/>
      <c r="Q69" s="121"/>
    </row>
    <row r="70" spans="1:17" s="51" customFormat="1" ht="13.5" customHeight="1">
      <c r="A70" s="210" t="s">
        <v>200</v>
      </c>
      <c r="B70" s="63"/>
      <c r="C70" s="157"/>
      <c r="D70" s="157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60"/>
      <c r="Q70" s="121"/>
    </row>
    <row r="71" spans="1:17" s="51" customFormat="1" ht="13.5" customHeight="1">
      <c r="A71" s="211" t="s">
        <v>89</v>
      </c>
      <c r="B71" s="63"/>
      <c r="C71" s="157"/>
      <c r="D71" s="157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60"/>
      <c r="Q71" s="121"/>
    </row>
    <row r="72" spans="1:17" s="51" customFormat="1" ht="13.5" customHeight="1">
      <c r="A72" s="212"/>
      <c r="B72" s="63"/>
      <c r="C72" s="63"/>
      <c r="D72" s="63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60"/>
      <c r="Q72" s="121"/>
    </row>
    <row r="73" spans="1:17" s="51" customFormat="1" ht="13.5" customHeight="1">
      <c r="A73" s="210" t="s">
        <v>201</v>
      </c>
      <c r="B73" s="63"/>
      <c r="C73" s="157"/>
      <c r="D73" s="157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60"/>
      <c r="Q73" s="121"/>
    </row>
    <row r="74" spans="1:17" s="51" customFormat="1" ht="13.5" customHeight="1">
      <c r="A74" s="210" t="s">
        <v>90</v>
      </c>
      <c r="B74" s="63"/>
      <c r="C74" s="157"/>
      <c r="D74" s="157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60"/>
      <c r="Q74" s="121"/>
    </row>
    <row r="75" spans="1:17" ht="12.75" customHeight="1">
      <c r="A75" s="210" t="s">
        <v>91</v>
      </c>
      <c r="B75" s="236"/>
      <c r="C75" s="164"/>
      <c r="D75" s="164"/>
      <c r="E75" s="60"/>
      <c r="F75" s="60"/>
      <c r="G75" s="60"/>
      <c r="H75" s="60"/>
      <c r="I75" s="60"/>
      <c r="J75" s="60"/>
      <c r="K75" s="60"/>
      <c r="L75" s="60"/>
      <c r="M75" s="60"/>
    </row>
    <row r="76" spans="1:17">
      <c r="A76" s="165"/>
      <c r="B76" s="165"/>
      <c r="C76" s="165"/>
      <c r="D76" s="165"/>
      <c r="E76" s="60"/>
      <c r="F76" s="60"/>
      <c r="G76" s="60"/>
      <c r="H76" s="60"/>
      <c r="I76" s="60"/>
      <c r="J76" s="60"/>
      <c r="K76" s="60"/>
      <c r="L76" s="60"/>
      <c r="M76" s="60"/>
    </row>
    <row r="77" spans="1:17">
      <c r="A77" s="368"/>
      <c r="B77" s="369"/>
      <c r="C77" s="252"/>
      <c r="D77" s="252"/>
      <c r="E77" s="252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252"/>
    </row>
    <row r="78" spans="1:17" ht="72.75" customHeight="1">
      <c r="A78" s="370"/>
      <c r="B78" s="371"/>
      <c r="C78" s="251" t="str">
        <f t="shared" ref="C78:N78" si="32">C2</f>
        <v>3rd DAA,     Silver Dollar Fair</v>
      </c>
      <c r="D78" s="251" t="str">
        <f t="shared" si="32"/>
        <v>4th DAA, Sonoma Marin Fair</v>
      </c>
      <c r="E78" s="251" t="str">
        <f t="shared" si="32"/>
        <v>14th DAA,     Santa Cruz County Fair</v>
      </c>
      <c r="F78" s="251" t="str">
        <f t="shared" si="32"/>
        <v>21-A DAA, Madera District Fair</v>
      </c>
      <c r="G78" s="251" t="str">
        <f t="shared" si="32"/>
        <v>23rd DAA, Contra Costa County Fair</v>
      </c>
      <c r="H78" s="251" t="str">
        <f t="shared" si="32"/>
        <v>25th DAA,     Napa Town &amp; Country Fair</v>
      </c>
      <c r="I78" s="251" t="str">
        <f t="shared" si="32"/>
        <v>27th DAA, Shasta District Fair</v>
      </c>
      <c r="J78" s="251" t="str">
        <f t="shared" si="32"/>
        <v>36th DAA,    Dixon May Fair</v>
      </c>
      <c r="K78" s="251" t="str">
        <f t="shared" si="32"/>
        <v>45th DAA, California Mid- Winter Fair</v>
      </c>
      <c r="L78" s="251" t="str">
        <f t="shared" si="32"/>
        <v>El Dorado County Fair</v>
      </c>
      <c r="M78" s="251" t="str">
        <f t="shared" si="32"/>
        <v>Humboldt County Fair</v>
      </c>
      <c r="N78" s="251" t="str">
        <f t="shared" si="32"/>
        <v>Salinas Valley Fair</v>
      </c>
      <c r="O78" s="309" t="str">
        <f t="shared" ref="O78:P78" si="33">O2</f>
        <v>Napa County Fair</v>
      </c>
      <c r="P78" s="340" t="str">
        <f t="shared" si="33"/>
        <v>Placer County Fair</v>
      </c>
    </row>
    <row r="79" spans="1:17" ht="13.5" customHeight="1">
      <c r="A79" s="255" t="s">
        <v>92</v>
      </c>
      <c r="B79" s="40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4"/>
      <c r="N79" s="64"/>
      <c r="O79" s="64"/>
      <c r="P79" s="66"/>
    </row>
    <row r="80" spans="1:17" ht="13.5" customHeight="1">
      <c r="A80" s="255" t="s">
        <v>93</v>
      </c>
      <c r="B80" s="40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4"/>
      <c r="N80" s="64"/>
      <c r="O80" s="64"/>
      <c r="P80" s="66"/>
    </row>
    <row r="81" spans="1:18" ht="13.5" customHeight="1">
      <c r="A81" s="260"/>
      <c r="B81" s="40" t="s">
        <v>94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29"/>
      <c r="N81" s="29"/>
      <c r="O81" s="29"/>
      <c r="P81" s="30"/>
    </row>
    <row r="82" spans="1:18" ht="13.5" customHeight="1">
      <c r="A82" s="260"/>
      <c r="B82" s="40" t="s">
        <v>95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3">
        <v>0</v>
      </c>
      <c r="N82" s="23">
        <v>0</v>
      </c>
      <c r="O82" s="23">
        <v>0</v>
      </c>
      <c r="P82" s="25">
        <v>23433.35</v>
      </c>
      <c r="R82" s="67">
        <f t="shared" ref="R82:R89" si="34">SUM(C82:K82)</f>
        <v>0</v>
      </c>
    </row>
    <row r="83" spans="1:18" ht="13.5" customHeight="1">
      <c r="A83" s="260"/>
      <c r="B83" s="40" t="s">
        <v>96</v>
      </c>
      <c r="C83" s="41">
        <v>515209</v>
      </c>
      <c r="D83" s="41">
        <v>2028977</v>
      </c>
      <c r="E83" s="41">
        <f>329293.84+29787.76</f>
        <v>359081.60000000003</v>
      </c>
      <c r="F83" s="41">
        <v>2000389.31</v>
      </c>
      <c r="G83" s="41">
        <v>183093</v>
      </c>
      <c r="H83" s="41">
        <v>857325</v>
      </c>
      <c r="I83" s="24">
        <v>357711</v>
      </c>
      <c r="J83" s="41">
        <f>828836+2306</f>
        <v>831142</v>
      </c>
      <c r="K83" s="41">
        <v>1471528</v>
      </c>
      <c r="L83" s="41">
        <v>531919</v>
      </c>
      <c r="M83" s="29">
        <v>253029</v>
      </c>
      <c r="N83" s="29">
        <v>1056856.5</v>
      </c>
      <c r="O83" s="29">
        <v>288286.48</v>
      </c>
      <c r="P83" s="30">
        <v>110196.57</v>
      </c>
      <c r="R83" s="67">
        <f t="shared" si="34"/>
        <v>8604455.9100000001</v>
      </c>
    </row>
    <row r="84" spans="1:18" ht="13.5" customHeight="1">
      <c r="A84" s="260"/>
      <c r="B84" s="40" t="s">
        <v>97</v>
      </c>
      <c r="C84" s="41">
        <v>30648</v>
      </c>
      <c r="D84" s="41">
        <v>17948</v>
      </c>
      <c r="E84" s="41">
        <f>16836.23+6077.63</f>
        <v>22913.86</v>
      </c>
      <c r="F84" s="41">
        <v>786496.01</v>
      </c>
      <c r="G84" s="41">
        <v>93295</v>
      </c>
      <c r="H84" s="41">
        <v>63965</v>
      </c>
      <c r="I84" s="24">
        <v>77061</v>
      </c>
      <c r="J84" s="41">
        <f>2380+1023</f>
        <v>3403</v>
      </c>
      <c r="K84" s="41">
        <v>19444</v>
      </c>
      <c r="L84" s="41">
        <v>18113</v>
      </c>
      <c r="M84" s="29">
        <v>236208</v>
      </c>
      <c r="N84" s="29">
        <v>19504.669999999998</v>
      </c>
      <c r="O84" s="29">
        <v>6517.19</v>
      </c>
      <c r="P84" s="30">
        <v>8080.42</v>
      </c>
      <c r="R84" s="67">
        <f t="shared" si="34"/>
        <v>1115173.8700000001</v>
      </c>
    </row>
    <row r="85" spans="1:18" ht="13.5" customHeight="1">
      <c r="A85" s="260"/>
      <c r="B85" s="40" t="s">
        <v>98</v>
      </c>
      <c r="C85" s="41">
        <v>0</v>
      </c>
      <c r="D85" s="41">
        <v>11300</v>
      </c>
      <c r="E85" s="41">
        <v>9728.3700000000008</v>
      </c>
      <c r="F85" s="41">
        <v>0</v>
      </c>
      <c r="G85" s="41">
        <v>13799</v>
      </c>
      <c r="H85" s="41">
        <v>23754</v>
      </c>
      <c r="I85" s="41">
        <v>341</v>
      </c>
      <c r="J85" s="41">
        <v>9679</v>
      </c>
      <c r="K85" s="41">
        <v>14390</v>
      </c>
      <c r="L85" s="41">
        <v>4971</v>
      </c>
      <c r="M85" s="29">
        <v>0</v>
      </c>
      <c r="N85" s="29">
        <v>0</v>
      </c>
      <c r="O85" s="29">
        <v>6279.67</v>
      </c>
      <c r="P85" s="30">
        <v>0</v>
      </c>
      <c r="R85" s="67">
        <f t="shared" si="34"/>
        <v>82991.37</v>
      </c>
    </row>
    <row r="86" spans="1:18" ht="13.5" customHeight="1">
      <c r="A86" s="260"/>
      <c r="B86" s="40" t="s">
        <v>99</v>
      </c>
      <c r="C86" s="41">
        <v>0</v>
      </c>
      <c r="D86" s="41">
        <v>1375</v>
      </c>
      <c r="E86" s="41">
        <v>0</v>
      </c>
      <c r="F86" s="41">
        <v>0</v>
      </c>
      <c r="G86" s="41">
        <v>0</v>
      </c>
      <c r="H86" s="41">
        <v>0</v>
      </c>
      <c r="I86" s="41">
        <v>0</v>
      </c>
      <c r="J86" s="41">
        <v>0</v>
      </c>
      <c r="K86" s="41">
        <v>0</v>
      </c>
      <c r="L86" s="41">
        <v>0</v>
      </c>
      <c r="M86" s="29">
        <v>6632</v>
      </c>
      <c r="N86" s="29">
        <v>5139.2299999999996</v>
      </c>
      <c r="O86" s="29">
        <v>2590.2399999999998</v>
      </c>
      <c r="P86" s="30">
        <v>2454</v>
      </c>
      <c r="R86" s="67">
        <f t="shared" si="34"/>
        <v>1375</v>
      </c>
    </row>
    <row r="87" spans="1:18" ht="13.5" customHeight="1">
      <c r="A87" s="260"/>
      <c r="B87" s="40" t="s">
        <v>153</v>
      </c>
      <c r="C87" s="41">
        <v>5905</v>
      </c>
      <c r="D87" s="41">
        <v>10485</v>
      </c>
      <c r="E87" s="41">
        <v>47987.87</v>
      </c>
      <c r="F87" s="41">
        <v>7645.04</v>
      </c>
      <c r="G87" s="41">
        <v>0</v>
      </c>
      <c r="H87" s="41">
        <v>30915</v>
      </c>
      <c r="I87" s="41">
        <v>35691</v>
      </c>
      <c r="J87" s="41">
        <v>14746</v>
      </c>
      <c r="K87" s="41">
        <v>14011</v>
      </c>
      <c r="L87" s="41">
        <v>6000</v>
      </c>
      <c r="M87" s="29">
        <v>4518</v>
      </c>
      <c r="N87" s="29">
        <v>0</v>
      </c>
      <c r="O87" s="29">
        <v>17253.939999999999</v>
      </c>
      <c r="P87" s="30">
        <v>0</v>
      </c>
      <c r="R87" s="31">
        <f t="shared" si="34"/>
        <v>167385.91</v>
      </c>
    </row>
    <row r="88" spans="1:18" ht="13.5" customHeight="1">
      <c r="A88" s="260"/>
      <c r="B88" s="40" t="s">
        <v>101</v>
      </c>
      <c r="C88" s="41">
        <v>15523</v>
      </c>
      <c r="D88" s="41">
        <v>0</v>
      </c>
      <c r="E88" s="41">
        <v>8500</v>
      </c>
      <c r="F88" s="41">
        <v>1816740.3</v>
      </c>
      <c r="G88" s="41">
        <v>97504</v>
      </c>
      <c r="H88" s="41">
        <v>231900</v>
      </c>
      <c r="I88" s="41">
        <v>111973</v>
      </c>
      <c r="J88" s="41">
        <v>35602</v>
      </c>
      <c r="K88" s="41">
        <v>0</v>
      </c>
      <c r="L88" s="41">
        <v>90987</v>
      </c>
      <c r="M88" s="29">
        <v>0</v>
      </c>
      <c r="N88" s="29">
        <v>0</v>
      </c>
      <c r="O88" s="29">
        <v>0</v>
      </c>
      <c r="P88" s="30">
        <v>0</v>
      </c>
      <c r="R88" s="20">
        <f t="shared" si="34"/>
        <v>2317742.2999999998</v>
      </c>
    </row>
    <row r="89" spans="1:18" ht="13.5" customHeight="1">
      <c r="A89" s="260"/>
      <c r="B89" s="40" t="s">
        <v>102</v>
      </c>
      <c r="C89" s="41">
        <v>8306165</v>
      </c>
      <c r="D89" s="41">
        <v>4364640</v>
      </c>
      <c r="E89" s="41">
        <v>4662856.92</v>
      </c>
      <c r="F89" s="41">
        <v>6536346.3700000001</v>
      </c>
      <c r="G89" s="41">
        <v>3691227</v>
      </c>
      <c r="H89" s="41">
        <v>5442356</v>
      </c>
      <c r="I89" s="41">
        <v>6795004</v>
      </c>
      <c r="J89" s="41">
        <v>3190426</v>
      </c>
      <c r="K89" s="41">
        <v>0</v>
      </c>
      <c r="L89" s="41">
        <v>4716335</v>
      </c>
      <c r="M89" s="29">
        <v>4459452</v>
      </c>
      <c r="N89" s="29">
        <v>8647047.7200000007</v>
      </c>
      <c r="O89" s="29">
        <v>2952159.15</v>
      </c>
      <c r="P89" s="30">
        <v>0</v>
      </c>
      <c r="R89" s="20">
        <f t="shared" si="34"/>
        <v>42989021.290000007</v>
      </c>
    </row>
    <row r="90" spans="1:18" ht="13.5" customHeight="1">
      <c r="A90" s="260"/>
      <c r="B90" s="40" t="s">
        <v>103</v>
      </c>
      <c r="C90" s="41">
        <v>409803</v>
      </c>
      <c r="D90" s="41">
        <v>267261</v>
      </c>
      <c r="E90" s="41">
        <v>294651.52000000002</v>
      </c>
      <c r="F90" s="41">
        <v>377323.62</v>
      </c>
      <c r="G90" s="41">
        <v>237645</v>
      </c>
      <c r="H90" s="41">
        <v>940534</v>
      </c>
      <c r="I90" s="41">
        <v>256629</v>
      </c>
      <c r="J90" s="41">
        <v>144555</v>
      </c>
      <c r="K90" s="41">
        <v>317556</v>
      </c>
      <c r="L90" s="41">
        <v>163466</v>
      </c>
      <c r="M90" s="29">
        <v>242422</v>
      </c>
      <c r="N90" s="29">
        <v>478038</v>
      </c>
      <c r="O90" s="29">
        <v>549905.64</v>
      </c>
      <c r="P90" s="283">
        <v>346559.11</v>
      </c>
    </row>
    <row r="91" spans="1:18" ht="13.5" customHeight="1">
      <c r="A91" s="260"/>
      <c r="B91" s="40" t="s">
        <v>104</v>
      </c>
      <c r="C91" s="41">
        <v>0</v>
      </c>
      <c r="D91" s="41">
        <v>0</v>
      </c>
      <c r="E91" s="41">
        <v>0</v>
      </c>
      <c r="F91" s="41">
        <v>0</v>
      </c>
      <c r="G91" s="41">
        <v>740573</v>
      </c>
      <c r="H91" s="41">
        <v>0</v>
      </c>
      <c r="I91" s="41">
        <v>0</v>
      </c>
      <c r="J91" s="41">
        <v>0</v>
      </c>
      <c r="K91" s="41">
        <v>3474871</v>
      </c>
      <c r="L91" s="41">
        <v>0</v>
      </c>
      <c r="M91" s="29">
        <v>150576</v>
      </c>
      <c r="N91" s="29">
        <v>0</v>
      </c>
      <c r="O91" s="29">
        <v>0</v>
      </c>
      <c r="P91" s="30">
        <v>3141966</v>
      </c>
    </row>
    <row r="92" spans="1:18" ht="13.5" customHeight="1">
      <c r="A92" s="260"/>
      <c r="B92" s="40" t="s">
        <v>186</v>
      </c>
      <c r="C92" s="41">
        <v>0</v>
      </c>
      <c r="D92" s="41">
        <v>0</v>
      </c>
      <c r="E92" s="41">
        <v>0</v>
      </c>
      <c r="F92" s="41">
        <v>0</v>
      </c>
      <c r="G92" s="41">
        <v>0</v>
      </c>
      <c r="H92" s="41">
        <v>0</v>
      </c>
      <c r="I92" s="41">
        <v>0</v>
      </c>
      <c r="J92" s="41">
        <v>0</v>
      </c>
      <c r="K92" s="41">
        <v>0</v>
      </c>
      <c r="L92" s="41">
        <v>0</v>
      </c>
      <c r="M92" s="29">
        <v>0</v>
      </c>
      <c r="N92" s="29">
        <v>0</v>
      </c>
      <c r="O92" s="29">
        <v>0</v>
      </c>
      <c r="P92" s="30">
        <v>0</v>
      </c>
      <c r="R92" s="20">
        <f t="shared" ref="R92" si="35">SUM(C92:K92)</f>
        <v>0</v>
      </c>
    </row>
    <row r="93" spans="1:18" ht="13.5" customHeight="1">
      <c r="A93" s="260"/>
      <c r="B93" s="40" t="s">
        <v>105</v>
      </c>
      <c r="C93" s="41">
        <f>-5395548-349016</f>
        <v>-5744564</v>
      </c>
      <c r="D93" s="41">
        <f>-3568182-257645</f>
        <v>-3825827</v>
      </c>
      <c r="E93" s="41">
        <f>-2751517.11-294651.52</f>
        <v>-3046168.63</v>
      </c>
      <c r="F93" s="41">
        <f>-2616910.08-328715.84</f>
        <v>-2945625.92</v>
      </c>
      <c r="G93" s="41">
        <f>-2572585-237645-345601</f>
        <v>-3155831</v>
      </c>
      <c r="H93" s="41">
        <f>-2941990-915932</f>
        <v>-3857922</v>
      </c>
      <c r="I93" s="41">
        <f>-4273390-256629</f>
        <v>-4530019</v>
      </c>
      <c r="J93" s="41">
        <f>-2453406-144555</f>
        <v>-2597961</v>
      </c>
      <c r="K93" s="41">
        <f>-315255-2046590</f>
        <v>-2361845</v>
      </c>
      <c r="L93" s="41">
        <f>-3296593-147879</f>
        <v>-3444472</v>
      </c>
      <c r="M93" s="29">
        <f>-3555068-235560-19702</f>
        <v>-3810330</v>
      </c>
      <c r="N93" s="29">
        <f>-2939023.69-359055</f>
        <v>-3298078.69</v>
      </c>
      <c r="O93" s="29">
        <f>-1815403-299148</f>
        <v>-2114551</v>
      </c>
      <c r="P93" s="30">
        <f>-343039.77-2396466.27</f>
        <v>-2739506.04</v>
      </c>
      <c r="R93" s="31">
        <f>SUM(C87:K93)</f>
        <v>20869788.089999996</v>
      </c>
    </row>
    <row r="94" spans="1:18" ht="13.5" customHeight="1">
      <c r="A94" s="260"/>
      <c r="B94" s="40" t="s">
        <v>106</v>
      </c>
      <c r="C94" s="41">
        <v>0</v>
      </c>
      <c r="D94" s="41">
        <v>0</v>
      </c>
      <c r="E94" s="41">
        <v>0</v>
      </c>
      <c r="F94" s="41">
        <v>0</v>
      </c>
      <c r="G94" s="41">
        <v>0</v>
      </c>
      <c r="H94" s="41">
        <v>0</v>
      </c>
      <c r="I94" s="41">
        <v>0</v>
      </c>
      <c r="J94" s="41">
        <v>0</v>
      </c>
      <c r="K94" s="41">
        <v>0</v>
      </c>
      <c r="L94" s="41">
        <v>0</v>
      </c>
      <c r="M94" s="29">
        <v>0</v>
      </c>
      <c r="N94" s="29">
        <v>0</v>
      </c>
      <c r="O94" s="29">
        <v>0</v>
      </c>
      <c r="P94" s="30">
        <v>0</v>
      </c>
    </row>
    <row r="95" spans="1:18" s="33" customFormat="1" ht="13.5" customHeight="1">
      <c r="A95" s="268" t="s">
        <v>107</v>
      </c>
      <c r="B95" s="34"/>
      <c r="C95" s="35">
        <f>SUM(C81:C94)</f>
        <v>3538689</v>
      </c>
      <c r="D95" s="35">
        <f t="shared" ref="D95:N95" si="36">SUM(D81:D94)</f>
        <v>2876159</v>
      </c>
      <c r="E95" s="35">
        <f t="shared" si="36"/>
        <v>2359551.5100000007</v>
      </c>
      <c r="F95" s="35">
        <f t="shared" si="36"/>
        <v>8579314.7300000004</v>
      </c>
      <c r="G95" s="35">
        <f t="shared" ref="G95" si="37">SUM(G81:G94)</f>
        <v>1901305</v>
      </c>
      <c r="H95" s="35">
        <f t="shared" si="36"/>
        <v>3732827</v>
      </c>
      <c r="I95" s="35">
        <f t="shared" si="36"/>
        <v>3104391</v>
      </c>
      <c r="J95" s="35">
        <f t="shared" si="36"/>
        <v>1631592</v>
      </c>
      <c r="K95" s="35">
        <f t="shared" si="36"/>
        <v>2949955</v>
      </c>
      <c r="L95" s="35">
        <f t="shared" si="36"/>
        <v>2087319</v>
      </c>
      <c r="M95" s="35">
        <f t="shared" si="36"/>
        <v>1542507</v>
      </c>
      <c r="N95" s="35">
        <f t="shared" si="36"/>
        <v>6908507.4300000016</v>
      </c>
      <c r="O95" s="35">
        <f t="shared" ref="O95:P95" si="38">SUM(O81:O94)</f>
        <v>1708441.31</v>
      </c>
      <c r="P95" s="35">
        <f t="shared" si="38"/>
        <v>893183.41000000015</v>
      </c>
      <c r="R95" s="226">
        <f>SUM(C95:K95)</f>
        <v>30673784.240000002</v>
      </c>
    </row>
    <row r="96" spans="1:18" s="33" customFormat="1" ht="13.5" customHeight="1">
      <c r="A96" s="268" t="s">
        <v>215</v>
      </c>
      <c r="B96" s="34"/>
      <c r="C96" s="35">
        <v>91765</v>
      </c>
      <c r="D96" s="35">
        <v>86934</v>
      </c>
      <c r="E96" s="35">
        <v>74717.45</v>
      </c>
      <c r="F96" s="35">
        <v>102929.31</v>
      </c>
      <c r="G96" s="35">
        <v>51356</v>
      </c>
      <c r="H96" s="35">
        <v>117655</v>
      </c>
      <c r="I96" s="35">
        <v>12777</v>
      </c>
      <c r="J96" s="35">
        <v>90286</v>
      </c>
      <c r="K96" s="35">
        <v>76377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R96" s="226">
        <f>SUM(C96:K96)</f>
        <v>704796.76</v>
      </c>
    </row>
    <row r="97" spans="1:21" s="56" customFormat="1" ht="13.5" customHeight="1">
      <c r="A97" s="263" t="s">
        <v>212</v>
      </c>
      <c r="B97" s="224"/>
      <c r="C97" s="225">
        <f>+C95+C96</f>
        <v>3630454</v>
      </c>
      <c r="D97" s="225">
        <f t="shared" ref="D97:N97" si="39">+D95+D96</f>
        <v>2963093</v>
      </c>
      <c r="E97" s="225">
        <f t="shared" si="39"/>
        <v>2434268.9600000009</v>
      </c>
      <c r="F97" s="225">
        <f t="shared" si="39"/>
        <v>8682244.040000001</v>
      </c>
      <c r="G97" s="225">
        <f t="shared" ref="G97" si="40">+G95+G96</f>
        <v>1952661</v>
      </c>
      <c r="H97" s="225">
        <f t="shared" si="39"/>
        <v>3850482</v>
      </c>
      <c r="I97" s="225">
        <f t="shared" si="39"/>
        <v>3117168</v>
      </c>
      <c r="J97" s="225">
        <f t="shared" si="39"/>
        <v>1721878</v>
      </c>
      <c r="K97" s="225">
        <f t="shared" si="39"/>
        <v>3026332</v>
      </c>
      <c r="L97" s="225">
        <f t="shared" si="39"/>
        <v>2087319</v>
      </c>
      <c r="M97" s="225">
        <f t="shared" si="39"/>
        <v>1542507</v>
      </c>
      <c r="N97" s="225">
        <f t="shared" si="39"/>
        <v>6908507.4300000016</v>
      </c>
      <c r="O97" s="225">
        <f t="shared" ref="O97:P97" si="41">+O95+O96</f>
        <v>1708441.31</v>
      </c>
      <c r="P97" s="225">
        <f t="shared" si="41"/>
        <v>893183.41000000015</v>
      </c>
      <c r="R97" s="226">
        <f>SUM(C97:K97)</f>
        <v>31378581</v>
      </c>
    </row>
    <row r="98" spans="1:21" ht="13.5" customHeight="1">
      <c r="A98" s="255" t="s">
        <v>213</v>
      </c>
      <c r="B98" s="40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4"/>
      <c r="N98" s="64"/>
      <c r="O98" s="64"/>
      <c r="P98" s="66"/>
    </row>
    <row r="99" spans="1:21" ht="13.5" customHeight="1">
      <c r="A99" s="260"/>
      <c r="B99" s="40" t="s">
        <v>108</v>
      </c>
      <c r="C99" s="41">
        <v>0</v>
      </c>
      <c r="D99" s="41">
        <v>0</v>
      </c>
      <c r="E99" s="41">
        <v>405</v>
      </c>
      <c r="F99" s="41">
        <v>630</v>
      </c>
      <c r="G99" s="41">
        <v>0</v>
      </c>
      <c r="H99" s="41">
        <v>0</v>
      </c>
      <c r="I99" s="41">
        <v>95</v>
      </c>
      <c r="J99" s="41">
        <v>0</v>
      </c>
      <c r="K99" s="41">
        <v>0</v>
      </c>
      <c r="L99" s="41">
        <v>0</v>
      </c>
      <c r="M99" s="29">
        <v>0</v>
      </c>
      <c r="N99" s="29">
        <v>5823.45</v>
      </c>
      <c r="O99" s="29">
        <v>-485</v>
      </c>
      <c r="P99" s="30">
        <v>3762.9</v>
      </c>
      <c r="R99" s="67">
        <f t="shared" ref="R99:R119" si="42">SUM(C99:K99)</f>
        <v>1130</v>
      </c>
    </row>
    <row r="100" spans="1:21" ht="13.5" customHeight="1">
      <c r="A100" s="260"/>
      <c r="B100" s="40" t="s">
        <v>109</v>
      </c>
      <c r="C100" s="41">
        <v>5977</v>
      </c>
      <c r="D100" s="41">
        <v>12853</v>
      </c>
      <c r="E100" s="41">
        <v>57141.58</v>
      </c>
      <c r="F100" s="41">
        <v>19490.599999999999</v>
      </c>
      <c r="G100" s="41">
        <v>52128</v>
      </c>
      <c r="H100" s="41">
        <v>137722</v>
      </c>
      <c r="I100" s="41">
        <v>40350</v>
      </c>
      <c r="J100" s="41">
        <v>14381</v>
      </c>
      <c r="K100" s="41">
        <v>10693</v>
      </c>
      <c r="L100" s="41">
        <v>21172</v>
      </c>
      <c r="M100" s="29">
        <v>232229</v>
      </c>
      <c r="N100" s="29">
        <v>17577.22</v>
      </c>
      <c r="O100" s="29">
        <v>30398.48</v>
      </c>
      <c r="P100" s="30">
        <v>41051.660000000003</v>
      </c>
      <c r="R100" s="67">
        <f t="shared" si="42"/>
        <v>350736.18</v>
      </c>
      <c r="U100" s="130"/>
    </row>
    <row r="101" spans="1:21" ht="13.5" customHeight="1">
      <c r="A101" s="260"/>
      <c r="B101" s="40" t="s">
        <v>110</v>
      </c>
      <c r="C101" s="41">
        <v>1559</v>
      </c>
      <c r="D101" s="41">
        <v>101</v>
      </c>
      <c r="E101" s="41">
        <v>633.72</v>
      </c>
      <c r="F101" s="41">
        <v>22320.7</v>
      </c>
      <c r="G101" s="41">
        <v>4437</v>
      </c>
      <c r="H101" s="41">
        <v>5846</v>
      </c>
      <c r="I101" s="41">
        <v>3354</v>
      </c>
      <c r="J101" s="41">
        <v>6098</v>
      </c>
      <c r="K101" s="41">
        <v>9794</v>
      </c>
      <c r="L101" s="41">
        <v>8364</v>
      </c>
      <c r="M101" s="29">
        <v>98</v>
      </c>
      <c r="N101" s="29">
        <v>0</v>
      </c>
      <c r="O101" s="29">
        <v>3443.93</v>
      </c>
      <c r="P101" s="30">
        <v>13903.44</v>
      </c>
      <c r="R101" s="67">
        <f t="shared" si="42"/>
        <v>54143.42</v>
      </c>
    </row>
    <row r="102" spans="1:21" ht="13.5" customHeight="1">
      <c r="A102" s="260"/>
      <c r="B102" s="40" t="s">
        <v>111</v>
      </c>
      <c r="C102" s="41">
        <v>13805</v>
      </c>
      <c r="D102" s="41">
        <v>154688</v>
      </c>
      <c r="E102" s="41">
        <v>969.38</v>
      </c>
      <c r="F102" s="41">
        <v>50627.5</v>
      </c>
      <c r="G102" s="41">
        <v>7376</v>
      </c>
      <c r="H102" s="41">
        <v>22222</v>
      </c>
      <c r="I102" s="41">
        <v>12366</v>
      </c>
      <c r="J102" s="41">
        <v>48073</v>
      </c>
      <c r="K102" s="41">
        <v>91556</v>
      </c>
      <c r="L102" s="41">
        <v>14927</v>
      </c>
      <c r="M102" s="29">
        <v>5000</v>
      </c>
      <c r="N102" s="29">
        <v>1200</v>
      </c>
      <c r="O102" s="29">
        <v>87248.23</v>
      </c>
      <c r="P102" s="30">
        <v>0</v>
      </c>
      <c r="R102" s="67">
        <f t="shared" si="42"/>
        <v>401682.88</v>
      </c>
    </row>
    <row r="103" spans="1:21" ht="13.5" customHeight="1">
      <c r="A103" s="260"/>
      <c r="B103" s="40" t="s">
        <v>112</v>
      </c>
      <c r="C103" s="41">
        <v>0</v>
      </c>
      <c r="D103" s="41">
        <v>0</v>
      </c>
      <c r="E103" s="41">
        <v>13550</v>
      </c>
      <c r="F103" s="41">
        <v>2345.6799999999998</v>
      </c>
      <c r="G103" s="41">
        <v>0</v>
      </c>
      <c r="H103" s="41">
        <v>0</v>
      </c>
      <c r="I103" s="41">
        <v>198</v>
      </c>
      <c r="J103" s="41">
        <v>0</v>
      </c>
      <c r="K103" s="41">
        <v>0</v>
      </c>
      <c r="L103" s="41">
        <v>0</v>
      </c>
      <c r="M103" s="29">
        <v>0</v>
      </c>
      <c r="N103" s="29">
        <v>205.51999999999998</v>
      </c>
      <c r="O103" s="29">
        <v>670.66</v>
      </c>
      <c r="P103" s="30">
        <v>70156.78</v>
      </c>
      <c r="R103" s="67">
        <f t="shared" si="42"/>
        <v>16093.68</v>
      </c>
    </row>
    <row r="104" spans="1:21" ht="13.5" customHeight="1">
      <c r="A104" s="260"/>
      <c r="B104" s="40" t="s">
        <v>113</v>
      </c>
      <c r="C104" s="41">
        <v>2664</v>
      </c>
      <c r="D104" s="41">
        <v>33057</v>
      </c>
      <c r="E104" s="41">
        <v>6120</v>
      </c>
      <c r="F104" s="41">
        <v>11048.89</v>
      </c>
      <c r="G104" s="41">
        <v>16200</v>
      </c>
      <c r="H104" s="41">
        <v>11620</v>
      </c>
      <c r="I104" s="41">
        <v>22720</v>
      </c>
      <c r="J104" s="41">
        <v>22200</v>
      </c>
      <c r="K104" s="41">
        <v>1000</v>
      </c>
      <c r="L104" s="41">
        <v>1200</v>
      </c>
      <c r="M104" s="29">
        <v>9380</v>
      </c>
      <c r="N104" s="29">
        <v>30690</v>
      </c>
      <c r="O104" s="29">
        <v>300.45</v>
      </c>
      <c r="P104" s="30">
        <v>26272.2</v>
      </c>
      <c r="R104" s="67">
        <f t="shared" si="42"/>
        <v>126629.89</v>
      </c>
    </row>
    <row r="105" spans="1:21" ht="13.5" customHeight="1">
      <c r="A105" s="260"/>
      <c r="B105" s="40" t="s">
        <v>114</v>
      </c>
      <c r="C105" s="41">
        <v>27430</v>
      </c>
      <c r="D105" s="41">
        <v>14246</v>
      </c>
      <c r="E105" s="41">
        <v>8160.25</v>
      </c>
      <c r="F105" s="41">
        <v>29816.21</v>
      </c>
      <c r="G105" s="41">
        <v>14226</v>
      </c>
      <c r="H105" s="41">
        <v>132034</v>
      </c>
      <c r="I105" s="41">
        <v>33409</v>
      </c>
      <c r="J105" s="41">
        <v>43636</v>
      </c>
      <c r="K105" s="41">
        <v>20660</v>
      </c>
      <c r="L105" s="41">
        <v>27207</v>
      </c>
      <c r="M105" s="29">
        <v>0</v>
      </c>
      <c r="N105" s="29">
        <v>5755.36</v>
      </c>
      <c r="O105" s="29">
        <v>11214.86</v>
      </c>
      <c r="P105" s="30">
        <v>7484.77</v>
      </c>
      <c r="R105" s="67">
        <f t="shared" si="42"/>
        <v>323617.45999999996</v>
      </c>
    </row>
    <row r="106" spans="1:21" ht="13.5" customHeight="1">
      <c r="A106" s="260"/>
      <c r="B106" s="40" t="s">
        <v>115</v>
      </c>
      <c r="C106" s="41">
        <v>0</v>
      </c>
      <c r="D106" s="41">
        <v>10472</v>
      </c>
      <c r="E106" s="41">
        <v>50110.21</v>
      </c>
      <c r="F106" s="41">
        <v>0</v>
      </c>
      <c r="G106" s="41">
        <v>0</v>
      </c>
      <c r="H106" s="41">
        <v>360675</v>
      </c>
      <c r="I106" s="41">
        <v>107293</v>
      </c>
      <c r="J106" s="41">
        <v>74370</v>
      </c>
      <c r="K106" s="41">
        <v>191090</v>
      </c>
      <c r="L106" s="41">
        <v>39917</v>
      </c>
      <c r="M106" s="29">
        <v>16700</v>
      </c>
      <c r="N106" s="29">
        <v>10644.53</v>
      </c>
      <c r="O106" s="29">
        <v>130983.41</v>
      </c>
      <c r="P106" s="30">
        <v>14145.09</v>
      </c>
      <c r="R106" s="67">
        <f t="shared" si="42"/>
        <v>794010.21</v>
      </c>
    </row>
    <row r="107" spans="1:21" ht="13.5" customHeight="1">
      <c r="A107" s="260"/>
      <c r="B107" s="40" t="s">
        <v>218</v>
      </c>
      <c r="C107" s="29">
        <v>635023</v>
      </c>
      <c r="D107" s="41">
        <v>601651</v>
      </c>
      <c r="E107" s="41">
        <v>371449</v>
      </c>
      <c r="F107" s="41">
        <v>633485</v>
      </c>
      <c r="G107" s="41">
        <v>627587</v>
      </c>
      <c r="H107" s="41">
        <v>766577</v>
      </c>
      <c r="I107" s="41">
        <v>89940</v>
      </c>
      <c r="J107" s="41">
        <v>434075</v>
      </c>
      <c r="K107" s="41">
        <v>523878</v>
      </c>
      <c r="L107" s="41">
        <v>0</v>
      </c>
      <c r="M107" s="29">
        <v>0</v>
      </c>
      <c r="N107" s="29">
        <v>0</v>
      </c>
      <c r="O107" s="29">
        <v>297653</v>
      </c>
      <c r="P107" s="30">
        <v>0</v>
      </c>
      <c r="R107" s="67">
        <f t="shared" si="42"/>
        <v>4683665</v>
      </c>
    </row>
    <row r="108" spans="1:21" s="33" customFormat="1" ht="13.5" customHeight="1">
      <c r="A108" s="268" t="s">
        <v>217</v>
      </c>
      <c r="B108" s="34"/>
      <c r="C108" s="35">
        <f>SUM(C99:C107)</f>
        <v>686458</v>
      </c>
      <c r="D108" s="35">
        <f t="shared" ref="D108:N108" si="43">SUM(D99:D107)</f>
        <v>827068</v>
      </c>
      <c r="E108" s="35">
        <f t="shared" si="43"/>
        <v>508539.14</v>
      </c>
      <c r="F108" s="35">
        <f t="shared" si="43"/>
        <v>769764.58</v>
      </c>
      <c r="G108" s="35">
        <f t="shared" ref="G108" si="44">SUM(G99:G107)</f>
        <v>721954</v>
      </c>
      <c r="H108" s="35">
        <f t="shared" si="43"/>
        <v>1436696</v>
      </c>
      <c r="I108" s="35">
        <f t="shared" si="43"/>
        <v>309725</v>
      </c>
      <c r="J108" s="35">
        <f t="shared" si="43"/>
        <v>642833</v>
      </c>
      <c r="K108" s="35">
        <f t="shared" si="43"/>
        <v>848671</v>
      </c>
      <c r="L108" s="35">
        <f t="shared" si="43"/>
        <v>112787</v>
      </c>
      <c r="M108" s="35">
        <f t="shared" si="43"/>
        <v>263407</v>
      </c>
      <c r="N108" s="35">
        <f t="shared" si="43"/>
        <v>71896.08</v>
      </c>
      <c r="O108" s="35">
        <f t="shared" ref="O108:P108" si="45">SUM(O99:O107)</f>
        <v>561428.02</v>
      </c>
      <c r="P108" s="35">
        <f t="shared" si="45"/>
        <v>176776.84</v>
      </c>
      <c r="R108" s="226">
        <f t="shared" si="42"/>
        <v>6751708.7200000007</v>
      </c>
    </row>
    <row r="109" spans="1:21" s="33" customFormat="1" ht="13.5" customHeight="1">
      <c r="A109" s="268" t="s">
        <v>216</v>
      </c>
      <c r="B109" s="34"/>
      <c r="C109" s="35">
        <v>19794</v>
      </c>
      <c r="D109" s="35">
        <v>36040</v>
      </c>
      <c r="E109" s="35">
        <v>-1638</v>
      </c>
      <c r="F109" s="35">
        <v>-3468</v>
      </c>
      <c r="G109" s="35">
        <v>28223</v>
      </c>
      <c r="H109" s="35">
        <v>130186</v>
      </c>
      <c r="I109" s="35">
        <v>-82879</v>
      </c>
      <c r="J109" s="35">
        <v>-7459</v>
      </c>
      <c r="K109" s="35">
        <v>24487</v>
      </c>
      <c r="L109" s="35">
        <v>0</v>
      </c>
      <c r="M109" s="35">
        <v>0</v>
      </c>
      <c r="N109" s="35">
        <v>0</v>
      </c>
      <c r="O109" s="35">
        <v>0</v>
      </c>
      <c r="P109" s="35">
        <v>0</v>
      </c>
      <c r="R109" s="226">
        <f t="shared" si="42"/>
        <v>143286</v>
      </c>
    </row>
    <row r="110" spans="1:21" s="56" customFormat="1" ht="13.5" customHeight="1">
      <c r="A110" s="263" t="s">
        <v>214</v>
      </c>
      <c r="B110" s="224"/>
      <c r="C110" s="225">
        <f>+C108+C109</f>
        <v>706252</v>
      </c>
      <c r="D110" s="225">
        <f t="shared" ref="D110:N110" si="46">+D108+D109</f>
        <v>863108</v>
      </c>
      <c r="E110" s="225">
        <f t="shared" si="46"/>
        <v>506901.14</v>
      </c>
      <c r="F110" s="225">
        <f t="shared" si="46"/>
        <v>766296.58</v>
      </c>
      <c r="G110" s="225">
        <f t="shared" ref="G110" si="47">+G108+G109</f>
        <v>750177</v>
      </c>
      <c r="H110" s="225">
        <f t="shared" si="46"/>
        <v>1566882</v>
      </c>
      <c r="I110" s="225">
        <f t="shared" si="46"/>
        <v>226846</v>
      </c>
      <c r="J110" s="225">
        <f t="shared" si="46"/>
        <v>635374</v>
      </c>
      <c r="K110" s="225">
        <f t="shared" si="46"/>
        <v>873158</v>
      </c>
      <c r="L110" s="225">
        <f t="shared" si="46"/>
        <v>112787</v>
      </c>
      <c r="M110" s="225">
        <f t="shared" si="46"/>
        <v>263407</v>
      </c>
      <c r="N110" s="225">
        <f t="shared" si="46"/>
        <v>71896.08</v>
      </c>
      <c r="O110" s="225">
        <f t="shared" ref="O110:P110" si="48">+O108+O109</f>
        <v>561428.02</v>
      </c>
      <c r="P110" s="225">
        <f t="shared" si="48"/>
        <v>176776.84</v>
      </c>
      <c r="R110" s="226">
        <f t="shared" si="42"/>
        <v>6894994.7200000007</v>
      </c>
    </row>
    <row r="111" spans="1:21" ht="13.5" customHeight="1">
      <c r="A111" s="255" t="s">
        <v>116</v>
      </c>
      <c r="B111" s="40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4"/>
      <c r="N111" s="64"/>
      <c r="O111" s="64"/>
      <c r="P111" s="66"/>
      <c r="R111" s="67">
        <f t="shared" si="42"/>
        <v>0</v>
      </c>
    </row>
    <row r="112" spans="1:21" ht="13.5" customHeight="1">
      <c r="A112" s="260"/>
      <c r="B112" s="40" t="s">
        <v>117</v>
      </c>
      <c r="C112" s="41">
        <v>500</v>
      </c>
      <c r="D112" s="41">
        <v>0</v>
      </c>
      <c r="E112" s="41">
        <v>34072</v>
      </c>
      <c r="F112" s="41">
        <v>35776.97</v>
      </c>
      <c r="G112" s="41">
        <v>32612</v>
      </c>
      <c r="H112" s="41">
        <v>10085</v>
      </c>
      <c r="I112" s="41">
        <v>93221</v>
      </c>
      <c r="J112" s="41">
        <v>72580</v>
      </c>
      <c r="K112" s="41">
        <v>192753</v>
      </c>
      <c r="L112" s="41">
        <v>0</v>
      </c>
      <c r="M112" s="29">
        <v>23119</v>
      </c>
      <c r="N112" s="29">
        <v>0</v>
      </c>
      <c r="O112" s="29">
        <v>0</v>
      </c>
      <c r="P112" s="30">
        <f>27482.61-6655.2</f>
        <v>20827.41</v>
      </c>
      <c r="R112" s="67">
        <f>SUM(C112:K112)</f>
        <v>471599.97</v>
      </c>
    </row>
    <row r="113" spans="1:18" ht="13.5" customHeight="1">
      <c r="A113" s="260"/>
      <c r="B113" s="40" t="s">
        <v>42</v>
      </c>
      <c r="C113" s="41">
        <f>C60</f>
        <v>493921</v>
      </c>
      <c r="D113" s="41">
        <f t="shared" ref="D113:N113" si="49">D60</f>
        <v>1844656.2</v>
      </c>
      <c r="E113" s="41">
        <f t="shared" si="49"/>
        <v>220561</v>
      </c>
      <c r="F113" s="41">
        <f t="shared" si="49"/>
        <v>2614828.77</v>
      </c>
      <c r="G113" s="41">
        <f t="shared" ref="G113" si="50">G60</f>
        <v>163208</v>
      </c>
      <c r="H113" s="41">
        <f t="shared" si="49"/>
        <v>156876</v>
      </c>
      <c r="I113" s="41">
        <f t="shared" si="49"/>
        <v>229400</v>
      </c>
      <c r="J113" s="41">
        <f t="shared" si="49"/>
        <v>626935</v>
      </c>
      <c r="K113" s="41">
        <f t="shared" si="49"/>
        <v>1178906</v>
      </c>
      <c r="L113" s="41">
        <f t="shared" si="49"/>
        <v>482132</v>
      </c>
      <c r="M113" s="41">
        <f t="shared" si="49"/>
        <v>209343</v>
      </c>
      <c r="N113" s="41">
        <f t="shared" si="49"/>
        <v>1009605</v>
      </c>
      <c r="O113" s="41">
        <f t="shared" ref="O113:P113" si="51">O60</f>
        <v>112095.71</v>
      </c>
      <c r="P113" s="29">
        <f t="shared" si="51"/>
        <v>-39294.800000000003</v>
      </c>
      <c r="R113" s="67">
        <f>SUM(C113:K113)</f>
        <v>7529291.9700000007</v>
      </c>
    </row>
    <row r="114" spans="1:18" ht="13.5" customHeight="1">
      <c r="A114" s="260"/>
      <c r="B114" s="40" t="s">
        <v>220</v>
      </c>
      <c r="C114" s="41">
        <f>C61</f>
        <v>-563053</v>
      </c>
      <c r="D114" s="41">
        <f t="shared" ref="D114:N114" si="52">D61</f>
        <v>-550757.46</v>
      </c>
      <c r="E114" s="41">
        <f t="shared" si="52"/>
        <v>-295094</v>
      </c>
      <c r="F114" s="41">
        <f t="shared" si="52"/>
        <v>-527087.68999999994</v>
      </c>
      <c r="G114" s="41">
        <f t="shared" ref="G114" si="53">G61</f>
        <v>-604454</v>
      </c>
      <c r="H114" s="41">
        <f t="shared" si="52"/>
        <v>-671144</v>
      </c>
      <c r="I114" s="41">
        <f t="shared" si="52"/>
        <v>5716</v>
      </c>
      <c r="J114" s="41">
        <f t="shared" si="52"/>
        <v>-336330</v>
      </c>
      <c r="K114" s="41">
        <f t="shared" si="52"/>
        <v>-471988</v>
      </c>
      <c r="L114" s="41">
        <f t="shared" si="52"/>
        <v>0</v>
      </c>
      <c r="M114" s="41">
        <f t="shared" si="52"/>
        <v>0</v>
      </c>
      <c r="N114" s="41">
        <f t="shared" si="52"/>
        <v>0</v>
      </c>
      <c r="O114" s="41">
        <f t="shared" ref="O114:P114" si="54">O61</f>
        <v>-297653</v>
      </c>
      <c r="P114" s="29">
        <f t="shared" si="54"/>
        <v>0</v>
      </c>
      <c r="R114" s="67">
        <f>SUM(C114:K114)</f>
        <v>-4014192.15</v>
      </c>
    </row>
    <row r="115" spans="1:18" ht="13.5" customHeight="1">
      <c r="A115" s="260"/>
      <c r="B115" s="40" t="s">
        <v>43</v>
      </c>
      <c r="C115" s="41">
        <f>C62</f>
        <v>0</v>
      </c>
      <c r="D115" s="41">
        <f t="shared" ref="D115:N115" si="55">D62</f>
        <v>0</v>
      </c>
      <c r="E115" s="41">
        <f t="shared" si="55"/>
        <v>0</v>
      </c>
      <c r="F115" s="41">
        <f t="shared" si="55"/>
        <v>0</v>
      </c>
      <c r="G115" s="41">
        <f t="shared" ref="G115" si="56">G62</f>
        <v>0</v>
      </c>
      <c r="H115" s="41">
        <f t="shared" si="55"/>
        <v>0</v>
      </c>
      <c r="I115" s="41">
        <f t="shared" si="55"/>
        <v>0</v>
      </c>
      <c r="J115" s="41">
        <f t="shared" si="55"/>
        <v>0</v>
      </c>
      <c r="K115" s="41">
        <f t="shared" si="55"/>
        <v>0</v>
      </c>
      <c r="L115" s="41">
        <f t="shared" si="55"/>
        <v>0</v>
      </c>
      <c r="M115" s="41">
        <f t="shared" si="55"/>
        <v>0</v>
      </c>
      <c r="N115" s="41">
        <f t="shared" si="55"/>
        <v>0</v>
      </c>
      <c r="O115" s="41">
        <f t="shared" ref="O115:P115" si="57">O62</f>
        <v>1786.26</v>
      </c>
      <c r="P115" s="29">
        <f t="shared" si="57"/>
        <v>0</v>
      </c>
      <c r="R115" s="67">
        <f t="shared" si="42"/>
        <v>0</v>
      </c>
    </row>
    <row r="116" spans="1:18" ht="13.5" customHeight="1">
      <c r="A116" s="260"/>
      <c r="B116" s="40" t="s">
        <v>118</v>
      </c>
      <c r="C116" s="41">
        <f>C63</f>
        <v>2992833</v>
      </c>
      <c r="D116" s="41">
        <f t="shared" ref="D116:N116" si="58">D63</f>
        <v>806087</v>
      </c>
      <c r="E116" s="41">
        <f t="shared" si="58"/>
        <v>1967828</v>
      </c>
      <c r="F116" s="41">
        <f t="shared" si="58"/>
        <v>5792429.4199999999</v>
      </c>
      <c r="G116" s="41">
        <f t="shared" ref="G116" si="59">G63</f>
        <v>1611118</v>
      </c>
      <c r="H116" s="41">
        <f t="shared" si="58"/>
        <v>2787784</v>
      </c>
      <c r="I116" s="41">
        <f t="shared" si="58"/>
        <v>2561985</v>
      </c>
      <c r="J116" s="41">
        <f t="shared" si="58"/>
        <v>723318</v>
      </c>
      <c r="K116" s="41">
        <f t="shared" si="58"/>
        <v>1253504</v>
      </c>
      <c r="L116" s="41">
        <f t="shared" si="58"/>
        <v>1492399</v>
      </c>
      <c r="M116" s="41">
        <f t="shared" si="58"/>
        <v>1046637</v>
      </c>
      <c r="N116" s="41">
        <f t="shared" si="58"/>
        <v>5826806</v>
      </c>
      <c r="O116" s="41">
        <f t="shared" ref="O116:P116" si="60">O63</f>
        <v>1330784.3600000001</v>
      </c>
      <c r="P116" s="29">
        <f t="shared" si="60"/>
        <v>734874</v>
      </c>
      <c r="R116" s="67">
        <f t="shared" si="42"/>
        <v>20496886.420000002</v>
      </c>
    </row>
    <row r="117" spans="1:18" ht="13.5" customHeight="1">
      <c r="A117" s="269"/>
      <c r="B117" s="71" t="s">
        <v>166</v>
      </c>
      <c r="C117" s="73">
        <v>0</v>
      </c>
      <c r="D117" s="73">
        <v>0</v>
      </c>
      <c r="E117" s="74">
        <v>0</v>
      </c>
      <c r="F117" s="73">
        <v>0</v>
      </c>
      <c r="G117" s="73">
        <v>0</v>
      </c>
      <c r="H117" s="73">
        <v>0</v>
      </c>
      <c r="I117" s="74">
        <v>0</v>
      </c>
      <c r="J117" s="73">
        <v>0</v>
      </c>
      <c r="K117" s="73">
        <v>0</v>
      </c>
      <c r="L117" s="73">
        <v>0</v>
      </c>
      <c r="M117" s="72">
        <v>0</v>
      </c>
      <c r="N117" s="72">
        <v>0</v>
      </c>
      <c r="O117" s="72">
        <v>0</v>
      </c>
      <c r="P117" s="74">
        <v>0</v>
      </c>
      <c r="R117" s="67">
        <f>SUM(C117:N117)</f>
        <v>0</v>
      </c>
    </row>
    <row r="118" spans="1:18" s="33" customFormat="1" ht="13.5" customHeight="1">
      <c r="A118" s="268" t="s">
        <v>46</v>
      </c>
      <c r="B118" s="75"/>
      <c r="C118" s="76">
        <f>SUM(C112:C117)</f>
        <v>2924201</v>
      </c>
      <c r="D118" s="76">
        <f t="shared" ref="D118:N118" si="61">SUM(D112:D117)</f>
        <v>2099985.7400000002</v>
      </c>
      <c r="E118" s="76">
        <f t="shared" si="61"/>
        <v>1927367</v>
      </c>
      <c r="F118" s="76">
        <f t="shared" si="61"/>
        <v>7915947.4700000007</v>
      </c>
      <c r="G118" s="76">
        <f t="shared" ref="G118" si="62">SUM(G112:G117)</f>
        <v>1202484</v>
      </c>
      <c r="H118" s="76">
        <f t="shared" si="61"/>
        <v>2283601</v>
      </c>
      <c r="I118" s="76">
        <f t="shared" si="61"/>
        <v>2890322</v>
      </c>
      <c r="J118" s="76">
        <f t="shared" si="61"/>
        <v>1086503</v>
      </c>
      <c r="K118" s="76">
        <f t="shared" si="61"/>
        <v>2153175</v>
      </c>
      <c r="L118" s="76">
        <f t="shared" si="61"/>
        <v>1974531</v>
      </c>
      <c r="M118" s="76">
        <f t="shared" si="61"/>
        <v>1279099</v>
      </c>
      <c r="N118" s="76">
        <f t="shared" si="61"/>
        <v>6836411</v>
      </c>
      <c r="O118" s="76">
        <f t="shared" ref="O118:P118" si="63">SUM(O112:O117)</f>
        <v>1147013.33</v>
      </c>
      <c r="P118" s="76">
        <f t="shared" si="63"/>
        <v>716406.61</v>
      </c>
      <c r="R118" s="69">
        <f t="shared" si="42"/>
        <v>24483586.210000001</v>
      </c>
    </row>
    <row r="119" spans="1:18" s="56" customFormat="1">
      <c r="A119" s="263" t="s">
        <v>219</v>
      </c>
      <c r="B119" s="224"/>
      <c r="C119" s="225">
        <f t="shared" ref="C119:I119" si="64">SUM(C110:C117)</f>
        <v>3630453</v>
      </c>
      <c r="D119" s="225">
        <f t="shared" si="64"/>
        <v>2963093.74</v>
      </c>
      <c r="E119" s="225">
        <f t="shared" si="64"/>
        <v>2434268.14</v>
      </c>
      <c r="F119" s="225">
        <f t="shared" si="64"/>
        <v>8682244.0500000007</v>
      </c>
      <c r="G119" s="225">
        <f t="shared" ref="G119" si="65">SUM(G110:G117)</f>
        <v>1952661</v>
      </c>
      <c r="H119" s="225">
        <f t="shared" si="64"/>
        <v>3850483</v>
      </c>
      <c r="I119" s="225">
        <f t="shared" si="64"/>
        <v>3117168</v>
      </c>
      <c r="J119" s="225">
        <f t="shared" ref="J119:N119" si="66">SUM(J110:J117)</f>
        <v>1721877</v>
      </c>
      <c r="K119" s="225">
        <f t="shared" si="66"/>
        <v>3026333</v>
      </c>
      <c r="L119" s="225">
        <f t="shared" si="66"/>
        <v>2087318</v>
      </c>
      <c r="M119" s="225">
        <f t="shared" si="66"/>
        <v>1542506</v>
      </c>
      <c r="N119" s="225">
        <f t="shared" si="66"/>
        <v>6908307.0800000001</v>
      </c>
      <c r="O119" s="225">
        <f t="shared" ref="O119:P119" si="67">SUM(O110:O117)</f>
        <v>1708441.35</v>
      </c>
      <c r="P119" s="225">
        <f t="shared" si="67"/>
        <v>893183.45</v>
      </c>
      <c r="R119" s="226">
        <f t="shared" si="42"/>
        <v>31378580.93</v>
      </c>
    </row>
    <row r="120" spans="1:18" hidden="1">
      <c r="A120" s="79"/>
      <c r="B120" s="70" t="s">
        <v>88</v>
      </c>
      <c r="C120" s="119">
        <f>+C97-C119</f>
        <v>1</v>
      </c>
      <c r="D120" s="119">
        <f>+D97-D119</f>
        <v>-0.74000000022351742</v>
      </c>
      <c r="E120" s="119">
        <f t="shared" ref="E120:N120" si="68">+E97-E119</f>
        <v>0.82000000076368451</v>
      </c>
      <c r="F120" s="119">
        <f t="shared" si="68"/>
        <v>-9.9999997764825821E-3</v>
      </c>
      <c r="G120" s="119">
        <f t="shared" ref="G120" si="69">+G97-G119</f>
        <v>0</v>
      </c>
      <c r="H120" s="119">
        <f t="shared" si="68"/>
        <v>-1</v>
      </c>
      <c r="I120" s="119">
        <f t="shared" si="68"/>
        <v>0</v>
      </c>
      <c r="J120" s="145">
        <f t="shared" si="68"/>
        <v>1</v>
      </c>
      <c r="K120" s="145">
        <f t="shared" si="68"/>
        <v>-1</v>
      </c>
      <c r="L120" s="145">
        <f t="shared" si="68"/>
        <v>1</v>
      </c>
      <c r="M120" s="119">
        <f t="shared" si="68"/>
        <v>1</v>
      </c>
      <c r="N120" s="119">
        <f t="shared" si="68"/>
        <v>200.35000000149012</v>
      </c>
      <c r="O120" s="119">
        <f t="shared" ref="O120:P120" si="70">+O97-O119</f>
        <v>-4.0000000037252903E-2</v>
      </c>
      <c r="P120" s="247">
        <f t="shared" si="70"/>
        <v>-3.9999999804422259E-2</v>
      </c>
    </row>
    <row r="121" spans="1:18" ht="13.5" customHeight="1">
      <c r="A121" s="70"/>
      <c r="B121" s="101"/>
      <c r="C121" s="102"/>
      <c r="D121" s="102"/>
      <c r="E121" s="102"/>
      <c r="F121" s="102"/>
      <c r="G121" s="102"/>
      <c r="H121" s="102"/>
      <c r="I121" s="102"/>
      <c r="J121" s="243"/>
      <c r="K121" s="243"/>
      <c r="L121" s="243"/>
      <c r="M121" s="102"/>
      <c r="N121" s="102"/>
      <c r="O121" s="102"/>
      <c r="P121" s="102"/>
    </row>
    <row r="122" spans="1:18" ht="40.5" customHeight="1">
      <c r="A122" s="360" t="s">
        <v>119</v>
      </c>
      <c r="B122" s="361"/>
      <c r="C122" s="354">
        <f t="shared" ref="C122:N122" si="71">C55/(C31)</f>
        <v>9.8875209246321663E-2</v>
      </c>
      <c r="D122" s="354">
        <f t="shared" si="71"/>
        <v>9.4894667668784613E-2</v>
      </c>
      <c r="E122" s="354">
        <f t="shared" si="71"/>
        <v>-3.8976388538489837E-2</v>
      </c>
      <c r="F122" s="354">
        <f t="shared" si="71"/>
        <v>0.34334020149316108</v>
      </c>
      <c r="G122" s="354">
        <f t="shared" ref="G122" si="72">G55/(G31)</f>
        <v>-1.4816817215050418E-2</v>
      </c>
      <c r="H122" s="354">
        <f t="shared" si="71"/>
        <v>0.10219046077970324</v>
      </c>
      <c r="I122" s="354">
        <f t="shared" si="71"/>
        <v>-5.0892362833815936E-2</v>
      </c>
      <c r="J122" s="354">
        <f t="shared" si="71"/>
        <v>0.12685211834612709</v>
      </c>
      <c r="K122" s="354">
        <f t="shared" si="71"/>
        <v>0.15792098477107966</v>
      </c>
      <c r="L122" s="354">
        <f t="shared" si="71"/>
        <v>-3.4622234680846847E-3</v>
      </c>
      <c r="M122" s="354">
        <f t="shared" si="71"/>
        <v>-1.8307270803478728E-2</v>
      </c>
      <c r="N122" s="354">
        <f t="shared" si="71"/>
        <v>8.9453079151804088E-2</v>
      </c>
      <c r="O122" s="372">
        <f t="shared" ref="O122:P122" si="73">O55/(O31)</f>
        <v>4.6112427429780584E-2</v>
      </c>
      <c r="P122" s="372">
        <f t="shared" si="73"/>
        <v>-0.16709682045753313</v>
      </c>
    </row>
    <row r="123" spans="1:18" ht="24">
      <c r="A123" s="257"/>
      <c r="B123" s="299" t="s">
        <v>120</v>
      </c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354"/>
      <c r="N123" s="354"/>
      <c r="O123" s="373"/>
      <c r="P123" s="373"/>
    </row>
    <row r="124" spans="1:18" ht="14.25">
      <c r="A124" s="300" t="s">
        <v>194</v>
      </c>
      <c r="B124" s="301"/>
      <c r="C124" s="351">
        <f t="shared" ref="C124:N124" si="74">(SUM(C83:C84))/SUM(C99:C104)</f>
        <v>22.739304311601749</v>
      </c>
      <c r="D124" s="351">
        <f t="shared" si="74"/>
        <v>10.198979566415378</v>
      </c>
      <c r="E124" s="351">
        <f t="shared" si="74"/>
        <v>4.846447739955301</v>
      </c>
      <c r="F124" s="351">
        <f t="shared" si="74"/>
        <v>26.176940669828511</v>
      </c>
      <c r="G124" s="351">
        <f t="shared" ref="G124" si="75">(SUM(G83:G84))/SUM(G99:G104)</f>
        <v>3.4487715401604673</v>
      </c>
      <c r="H124" s="351">
        <f t="shared" si="74"/>
        <v>5.1929992672340903</v>
      </c>
      <c r="I124" s="351">
        <f t="shared" si="74"/>
        <v>5.4976670080801187</v>
      </c>
      <c r="J124" s="351">
        <f t="shared" si="74"/>
        <v>9.1958854901269387</v>
      </c>
      <c r="K124" s="351">
        <f t="shared" si="74"/>
        <v>13.189423493714781</v>
      </c>
      <c r="L124" s="351">
        <f t="shared" si="74"/>
        <v>12.045463504368964</v>
      </c>
      <c r="M124" s="351">
        <f t="shared" si="74"/>
        <v>1.9830689846660208</v>
      </c>
      <c r="N124" s="351">
        <f t="shared" si="74"/>
        <v>19.395226411038305</v>
      </c>
      <c r="O124" s="351">
        <f t="shared" ref="O124:P124" si="76">(SUM(O83:O84))/SUM(O99:O104)</f>
        <v>2.4248359164067144</v>
      </c>
      <c r="P124" s="351">
        <f t="shared" si="76"/>
        <v>0.76235444608718772</v>
      </c>
    </row>
    <row r="125" spans="1:18" ht="36">
      <c r="A125" s="302"/>
      <c r="B125" s="303" t="s">
        <v>195</v>
      </c>
      <c r="C125" s="352"/>
      <c r="D125" s="352"/>
      <c r="E125" s="352"/>
      <c r="F125" s="352"/>
      <c r="G125" s="352"/>
      <c r="H125" s="352"/>
      <c r="I125" s="352"/>
      <c r="J125" s="352"/>
      <c r="K125" s="352"/>
      <c r="L125" s="352"/>
      <c r="M125" s="352"/>
      <c r="N125" s="352"/>
      <c r="O125" s="352"/>
      <c r="P125" s="352"/>
    </row>
    <row r="126" spans="1:18" ht="14.25">
      <c r="A126" s="300" t="s">
        <v>196</v>
      </c>
      <c r="B126" s="301"/>
      <c r="C126" s="351">
        <f t="shared" ref="C126:N126" si="77">(SUM(C83:C84))/SUM(C99:C105)</f>
        <v>10.612559541168466</v>
      </c>
      <c r="D126" s="351">
        <f t="shared" si="77"/>
        <v>9.5230175161087729</v>
      </c>
      <c r="E126" s="351">
        <f t="shared" si="77"/>
        <v>4.391765548673126</v>
      </c>
      <c r="F126" s="351">
        <f t="shared" si="77"/>
        <v>20.449764520847516</v>
      </c>
      <c r="G126" s="351">
        <f t="shared" ref="G126" si="78">(SUM(G83:G84))/SUM(G99:G105)</f>
        <v>2.9288628440026705</v>
      </c>
      <c r="H126" s="351">
        <f t="shared" si="77"/>
        <v>2.9772430552862552</v>
      </c>
      <c r="I126" s="351">
        <f t="shared" si="77"/>
        <v>3.8649148383885077</v>
      </c>
      <c r="J126" s="351">
        <f t="shared" si="77"/>
        <v>6.20996666369021</v>
      </c>
      <c r="K126" s="351">
        <f t="shared" si="77"/>
        <v>11.151372818859711</v>
      </c>
      <c r="L126" s="351">
        <f t="shared" si="77"/>
        <v>7.5481268011527378</v>
      </c>
      <c r="M126" s="351">
        <f t="shared" si="77"/>
        <v>1.9830689846660208</v>
      </c>
      <c r="N126" s="351">
        <f t="shared" si="77"/>
        <v>17.57279889243619</v>
      </c>
      <c r="O126" s="351">
        <f t="shared" ref="O126:P126" si="79">(SUM(O83:O84))/SUM(O99:O105)</f>
        <v>2.2200474111278568</v>
      </c>
      <c r="P126" s="351">
        <f t="shared" si="79"/>
        <v>0.72726875287267101</v>
      </c>
    </row>
    <row r="127" spans="1:18" ht="24">
      <c r="A127" s="302"/>
      <c r="B127" s="303" t="s">
        <v>197</v>
      </c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2"/>
      <c r="N127" s="352"/>
      <c r="O127" s="352"/>
      <c r="P127" s="352"/>
    </row>
    <row r="128" spans="1:18" s="173" customFormat="1" ht="8.1" customHeight="1">
      <c r="A128" s="174"/>
      <c r="B128" s="175"/>
      <c r="C128" s="176"/>
      <c r="D128" s="176"/>
      <c r="E128" s="176"/>
      <c r="F128" s="176"/>
      <c r="G128" s="176"/>
      <c r="H128" s="176"/>
      <c r="I128" s="176"/>
      <c r="J128" s="176"/>
      <c r="K128" s="176"/>
      <c r="L128" s="176"/>
      <c r="M128" s="176"/>
      <c r="N128" s="176"/>
      <c r="O128" s="176"/>
      <c r="P128" s="177"/>
    </row>
    <row r="129" spans="1:17" ht="13.5" customHeight="1">
      <c r="A129" s="304" t="s">
        <v>121</v>
      </c>
      <c r="B129" s="75"/>
      <c r="C129" s="353">
        <f t="shared" ref="C129:N129" si="80">C110/C97</f>
        <v>0.19453544928540617</v>
      </c>
      <c r="D129" s="353">
        <f t="shared" si="80"/>
        <v>0.29128616617838182</v>
      </c>
      <c r="E129" s="353">
        <f t="shared" si="80"/>
        <v>0.20823546959248079</v>
      </c>
      <c r="F129" s="353">
        <f t="shared" si="80"/>
        <v>8.8260198224052663E-2</v>
      </c>
      <c r="G129" s="353">
        <f t="shared" ref="G129" si="81">G110/G97</f>
        <v>0.38418189332403319</v>
      </c>
      <c r="H129" s="353">
        <f t="shared" si="80"/>
        <v>0.40693139196599282</v>
      </c>
      <c r="I129" s="353">
        <f t="shared" si="80"/>
        <v>7.277310687136529E-2</v>
      </c>
      <c r="J129" s="353">
        <f t="shared" si="80"/>
        <v>0.36900059121494089</v>
      </c>
      <c r="K129" s="353">
        <f t="shared" si="80"/>
        <v>0.2885202284481676</v>
      </c>
      <c r="L129" s="353">
        <f t="shared" si="80"/>
        <v>5.4034385735960817E-2</v>
      </c>
      <c r="M129" s="353">
        <f t="shared" si="80"/>
        <v>0.17076551354386074</v>
      </c>
      <c r="N129" s="353">
        <f t="shared" si="80"/>
        <v>1.04068904504312E-2</v>
      </c>
      <c r="O129" s="381">
        <f t="shared" ref="O129:P129" si="82">O110/O97</f>
        <v>0.32862002148613462</v>
      </c>
      <c r="P129" s="381">
        <f t="shared" si="82"/>
        <v>0.19791773785856587</v>
      </c>
    </row>
    <row r="130" spans="1:17" ht="25.5">
      <c r="A130" s="257"/>
      <c r="B130" s="305" t="s">
        <v>122</v>
      </c>
      <c r="C130" s="353"/>
      <c r="D130" s="353"/>
      <c r="E130" s="353"/>
      <c r="F130" s="353"/>
      <c r="G130" s="353"/>
      <c r="H130" s="353"/>
      <c r="I130" s="353"/>
      <c r="J130" s="353"/>
      <c r="K130" s="353"/>
      <c r="L130" s="353"/>
      <c r="M130" s="353"/>
      <c r="N130" s="353"/>
      <c r="O130" s="382"/>
      <c r="P130" s="382"/>
    </row>
    <row r="131" spans="1:17" ht="13.5" customHeight="1">
      <c r="A131" s="304" t="s">
        <v>123</v>
      </c>
      <c r="B131" s="306"/>
      <c r="C131" s="353">
        <f t="shared" ref="C131:N131" si="83">C118/C97</f>
        <v>0.80546427526695008</v>
      </c>
      <c r="D131" s="353">
        <f t="shared" si="83"/>
        <v>0.70871408356065779</v>
      </c>
      <c r="E131" s="353">
        <f t="shared" si="83"/>
        <v>0.79176419355074035</v>
      </c>
      <c r="F131" s="353">
        <f t="shared" si="83"/>
        <v>0.91173980292772328</v>
      </c>
      <c r="G131" s="353">
        <f t="shared" ref="G131" si="84">G118/G97</f>
        <v>0.61581810667596681</v>
      </c>
      <c r="H131" s="353">
        <f t="shared" si="83"/>
        <v>0.59306886774175283</v>
      </c>
      <c r="I131" s="353">
        <f t="shared" si="83"/>
        <v>0.92722689312863471</v>
      </c>
      <c r="J131" s="353">
        <f t="shared" si="83"/>
        <v>0.63099882802382046</v>
      </c>
      <c r="K131" s="353">
        <f t="shared" si="83"/>
        <v>0.71148010198484501</v>
      </c>
      <c r="L131" s="353">
        <f t="shared" si="83"/>
        <v>0.94596513518058334</v>
      </c>
      <c r="M131" s="353">
        <f t="shared" si="83"/>
        <v>0.82923383816086405</v>
      </c>
      <c r="N131" s="353">
        <f t="shared" si="83"/>
        <v>0.98956410907413594</v>
      </c>
      <c r="O131" s="381">
        <f t="shared" ref="O131:P131" si="85">O118/O97</f>
        <v>0.67138000192701963</v>
      </c>
      <c r="P131" s="381">
        <f t="shared" si="85"/>
        <v>0.8020823069250691</v>
      </c>
    </row>
    <row r="132" spans="1:17" ht="24">
      <c r="A132" s="257"/>
      <c r="B132" s="299" t="s">
        <v>124</v>
      </c>
      <c r="C132" s="353"/>
      <c r="D132" s="353"/>
      <c r="E132" s="353"/>
      <c r="F132" s="353"/>
      <c r="G132" s="353"/>
      <c r="H132" s="353"/>
      <c r="I132" s="353"/>
      <c r="J132" s="353"/>
      <c r="K132" s="353"/>
      <c r="L132" s="353"/>
      <c r="M132" s="353"/>
      <c r="N132" s="353"/>
      <c r="O132" s="382"/>
      <c r="P132" s="382"/>
    </row>
    <row r="133" spans="1:17" ht="13.5" customHeight="1">
      <c r="A133" s="362" t="s">
        <v>125</v>
      </c>
      <c r="B133" s="363"/>
      <c r="C133" s="353">
        <f t="shared" ref="C133:N133" si="86">C110/C118</f>
        <v>0.24151964929907349</v>
      </c>
      <c r="D133" s="353">
        <f t="shared" si="86"/>
        <v>0.41100660045434401</v>
      </c>
      <c r="E133" s="353">
        <f t="shared" si="86"/>
        <v>0.26300187769117145</v>
      </c>
      <c r="F133" s="353">
        <f t="shared" si="86"/>
        <v>9.6804151733462671E-2</v>
      </c>
      <c r="G133" s="353">
        <f t="shared" ref="G133" si="87">G110/G118</f>
        <v>0.6238561178360793</v>
      </c>
      <c r="H133" s="353">
        <f t="shared" si="86"/>
        <v>0.68614525917618707</v>
      </c>
      <c r="I133" s="353">
        <f t="shared" si="86"/>
        <v>7.8484680945583224E-2</v>
      </c>
      <c r="J133" s="353">
        <f t="shared" si="86"/>
        <v>0.584788076977238</v>
      </c>
      <c r="K133" s="353">
        <f t="shared" si="86"/>
        <v>0.40552114900089403</v>
      </c>
      <c r="L133" s="353">
        <f t="shared" si="86"/>
        <v>5.7120906179745974E-2</v>
      </c>
      <c r="M133" s="353">
        <f t="shared" si="86"/>
        <v>0.20593167534334716</v>
      </c>
      <c r="N133" s="353">
        <f t="shared" si="86"/>
        <v>1.0516640968484779E-2</v>
      </c>
      <c r="O133" s="381">
        <f t="shared" ref="O133:P133" si="88">O110/O118</f>
        <v>0.48946948157960812</v>
      </c>
      <c r="P133" s="381">
        <f t="shared" si="88"/>
        <v>0.2467548980319989</v>
      </c>
    </row>
    <row r="134" spans="1:17">
      <c r="A134" s="257"/>
      <c r="B134" s="299" t="s">
        <v>126</v>
      </c>
      <c r="C134" s="353"/>
      <c r="D134" s="353"/>
      <c r="E134" s="353"/>
      <c r="F134" s="353"/>
      <c r="G134" s="353"/>
      <c r="H134" s="353"/>
      <c r="I134" s="353"/>
      <c r="J134" s="353"/>
      <c r="K134" s="353"/>
      <c r="L134" s="353"/>
      <c r="M134" s="353"/>
      <c r="N134" s="353"/>
      <c r="O134" s="382"/>
      <c r="P134" s="382"/>
    </row>
    <row r="135" spans="1:17" s="173" customFormat="1" ht="8.1" customHeight="1">
      <c r="A135" s="178"/>
      <c r="B135" s="179"/>
      <c r="C135" s="192"/>
      <c r="D135" s="192"/>
      <c r="E135" s="192"/>
      <c r="F135" s="192"/>
      <c r="G135" s="192"/>
      <c r="H135" s="192"/>
      <c r="I135" s="192"/>
      <c r="J135" s="192"/>
      <c r="K135" s="192"/>
      <c r="L135" s="192"/>
      <c r="M135" s="192"/>
      <c r="N135" s="192"/>
      <c r="O135" s="192"/>
      <c r="P135" s="193"/>
    </row>
    <row r="136" spans="1:17" ht="13.5" customHeight="1">
      <c r="A136" s="268" t="s">
        <v>127</v>
      </c>
      <c r="B136" s="34"/>
      <c r="C136" s="100">
        <v>4</v>
      </c>
      <c r="D136" s="100">
        <v>6</v>
      </c>
      <c r="E136" s="100">
        <v>1</v>
      </c>
      <c r="F136" s="100">
        <v>6</v>
      </c>
      <c r="G136" s="100">
        <v>4</v>
      </c>
      <c r="H136" s="100">
        <v>6</v>
      </c>
      <c r="I136" s="100">
        <v>4</v>
      </c>
      <c r="J136" s="100">
        <v>4</v>
      </c>
      <c r="K136" s="100">
        <v>3</v>
      </c>
      <c r="L136" s="100">
        <v>13</v>
      </c>
      <c r="M136" s="100">
        <v>5</v>
      </c>
      <c r="N136" s="100">
        <v>7</v>
      </c>
      <c r="O136" s="100">
        <v>4</v>
      </c>
      <c r="P136" s="81">
        <v>6</v>
      </c>
      <c r="Q136" s="131">
        <f>AVERAGE(C136:P136)</f>
        <v>5.2142857142857144</v>
      </c>
    </row>
    <row r="137" spans="1:17" s="173" customFormat="1" ht="8.1" customHeight="1">
      <c r="A137" s="184"/>
      <c r="B137" s="179"/>
      <c r="C137" s="192"/>
      <c r="D137" s="192"/>
      <c r="E137" s="192"/>
      <c r="F137" s="192"/>
      <c r="G137" s="192"/>
      <c r="H137" s="192"/>
      <c r="I137" s="192"/>
      <c r="J137" s="192"/>
      <c r="K137" s="192"/>
      <c r="L137" s="192"/>
      <c r="M137" s="192"/>
      <c r="N137" s="192"/>
      <c r="O137" s="192"/>
      <c r="P137" s="193"/>
    </row>
    <row r="138" spans="1:17">
      <c r="A138" s="307" t="s">
        <v>128</v>
      </c>
      <c r="B138" s="307"/>
      <c r="C138" s="186">
        <v>43263</v>
      </c>
      <c r="D138" s="186">
        <v>46071</v>
      </c>
      <c r="E138" s="186">
        <v>46413</v>
      </c>
      <c r="F138" s="186">
        <v>36214</v>
      </c>
      <c r="G138" s="186">
        <v>14065</v>
      </c>
      <c r="H138" s="186">
        <v>32785</v>
      </c>
      <c r="I138" s="186">
        <v>20210</v>
      </c>
      <c r="J138" s="186">
        <v>31516</v>
      </c>
      <c r="K138" s="186">
        <v>66455</v>
      </c>
      <c r="L138" s="186">
        <v>28159</v>
      </c>
      <c r="M138" s="81">
        <v>46007</v>
      </c>
      <c r="N138" s="186">
        <v>20620</v>
      </c>
      <c r="O138" s="186">
        <v>8376</v>
      </c>
      <c r="P138" s="186">
        <v>7249</v>
      </c>
      <c r="Q138" s="45">
        <f>AVERAGE(C138:P138)</f>
        <v>31957.357142857141</v>
      </c>
    </row>
    <row r="139" spans="1:17">
      <c r="A139" s="307" t="s">
        <v>129</v>
      </c>
      <c r="B139" s="307"/>
      <c r="C139" s="186">
        <v>21316</v>
      </c>
      <c r="D139" s="186">
        <v>16213</v>
      </c>
      <c r="E139" s="186">
        <v>23064</v>
      </c>
      <c r="F139" s="186">
        <v>15389</v>
      </c>
      <c r="G139" s="186">
        <v>9253</v>
      </c>
      <c r="H139" s="186">
        <v>8673</v>
      </c>
      <c r="I139" s="186">
        <v>18731</v>
      </c>
      <c r="J139" s="186">
        <v>21354</v>
      </c>
      <c r="K139" s="186">
        <v>45273</v>
      </c>
      <c r="L139" s="186">
        <v>32491</v>
      </c>
      <c r="M139" s="81">
        <v>16579</v>
      </c>
      <c r="N139" s="186">
        <v>11904</v>
      </c>
      <c r="O139" s="186">
        <v>961</v>
      </c>
      <c r="P139" s="186">
        <v>1000</v>
      </c>
      <c r="Q139" s="45">
        <f>AVERAGE(C139:P139)</f>
        <v>17300.071428571428</v>
      </c>
    </row>
    <row r="140" spans="1:17">
      <c r="A140" s="307" t="s">
        <v>130</v>
      </c>
      <c r="B140" s="307"/>
      <c r="C140" s="186">
        <v>64579</v>
      </c>
      <c r="D140" s="186">
        <v>62284</v>
      </c>
      <c r="E140" s="186">
        <v>69477</v>
      </c>
      <c r="F140" s="186">
        <v>51603</v>
      </c>
      <c r="G140" s="186">
        <v>23318</v>
      </c>
      <c r="H140" s="186">
        <v>41458</v>
      </c>
      <c r="I140" s="186">
        <v>38941</v>
      </c>
      <c r="J140" s="186">
        <v>52870</v>
      </c>
      <c r="K140" s="186">
        <v>111728</v>
      </c>
      <c r="L140" s="186">
        <v>60650</v>
      </c>
      <c r="M140" s="81">
        <v>62586</v>
      </c>
      <c r="N140" s="186">
        <v>32524</v>
      </c>
      <c r="O140" s="186">
        <v>9337</v>
      </c>
      <c r="P140" s="186">
        <v>8249</v>
      </c>
      <c r="Q140" s="45">
        <f>AVERAGE(C140:P140)</f>
        <v>49257.428571428572</v>
      </c>
    </row>
    <row r="142" spans="1:17">
      <c r="B142" s="60"/>
      <c r="L142" s="60"/>
    </row>
    <row r="143" spans="1:17">
      <c r="A143" s="217"/>
      <c r="B143" s="63"/>
    </row>
    <row r="144" spans="1:17">
      <c r="A144" s="217"/>
      <c r="B144" s="63"/>
    </row>
  </sheetData>
  <mergeCells count="102">
    <mergeCell ref="N2:N3"/>
    <mergeCell ref="O2:O3"/>
    <mergeCell ref="P2:P3"/>
    <mergeCell ref="L2:L3"/>
    <mergeCell ref="M2:M3"/>
    <mergeCell ref="A133:B133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77:B78"/>
    <mergeCell ref="A122:B122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D126:D127"/>
    <mergeCell ref="E126:E127"/>
    <mergeCell ref="D131:D132"/>
    <mergeCell ref="E131:E132"/>
    <mergeCell ref="P122:P123"/>
    <mergeCell ref="D124:D125"/>
    <mergeCell ref="E124:E125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K122:K123"/>
    <mergeCell ref="L122:L123"/>
    <mergeCell ref="M122:M123"/>
    <mergeCell ref="N122:N123"/>
    <mergeCell ref="P126:P127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K126:K127"/>
    <mergeCell ref="L126:L127"/>
    <mergeCell ref="M126:M127"/>
    <mergeCell ref="N126:N127"/>
    <mergeCell ref="O122:O123"/>
    <mergeCell ref="F122:F123"/>
    <mergeCell ref="G122:G123"/>
    <mergeCell ref="H122:H123"/>
    <mergeCell ref="I122:I123"/>
    <mergeCell ref="J122:J123"/>
    <mergeCell ref="O126:O127"/>
    <mergeCell ref="F126:F127"/>
    <mergeCell ref="G126:G127"/>
    <mergeCell ref="H126:H127"/>
    <mergeCell ref="I126:I127"/>
    <mergeCell ref="J126:J127"/>
    <mergeCell ref="P131:P132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O133:O134"/>
    <mergeCell ref="P133:P134"/>
    <mergeCell ref="K131:K132"/>
    <mergeCell ref="L131:L132"/>
    <mergeCell ref="M131:M132"/>
    <mergeCell ref="N131:N132"/>
    <mergeCell ref="O131:O132"/>
    <mergeCell ref="F131:F132"/>
    <mergeCell ref="G131:G132"/>
    <mergeCell ref="H131:H132"/>
    <mergeCell ref="I131:I132"/>
    <mergeCell ref="J131:J132"/>
  </mergeCells>
  <conditionalFormatting sqref="C122:F123 H122:N123">
    <cfRule type="cellIs" dxfId="29" priority="16" operator="lessThan">
      <formula>0</formula>
    </cfRule>
  </conditionalFormatting>
  <conditionalFormatting sqref="C65:F65 H65:N65">
    <cfRule type="cellIs" dxfId="28" priority="15" operator="lessThan">
      <formula>0</formula>
    </cfRule>
  </conditionalFormatting>
  <conditionalFormatting sqref="G65">
    <cfRule type="cellIs" dxfId="27" priority="12" operator="lessThan">
      <formula>0</formula>
    </cfRule>
  </conditionalFormatting>
  <conditionalFormatting sqref="G122:G123">
    <cfRule type="cellIs" dxfId="26" priority="11" operator="lessThan">
      <formula>0</formula>
    </cfRule>
  </conditionalFormatting>
  <conditionalFormatting sqref="O122:O123">
    <cfRule type="cellIs" dxfId="25" priority="8" operator="lessThan">
      <formula>0</formula>
    </cfRule>
  </conditionalFormatting>
  <conditionalFormatting sqref="O65">
    <cfRule type="cellIs" dxfId="24" priority="7" operator="lessThan">
      <formula>0</formula>
    </cfRule>
  </conditionalFormatting>
  <conditionalFormatting sqref="P122:P123">
    <cfRule type="cellIs" dxfId="23" priority="2" operator="lessThan">
      <formula>0</formula>
    </cfRule>
  </conditionalFormatting>
  <conditionalFormatting sqref="P65">
    <cfRule type="cellIs" dxfId="22" priority="1" operator="lessThan">
      <formula>0</formula>
    </cfRule>
  </conditionalFormatting>
  <printOptions horizontalCentered="1"/>
  <pageMargins left="0.28676470588235292" right="0.27083333333333331" top="0.75" bottom="0.35" header="0.5" footer="0.15"/>
  <pageSetup scale="65" fitToHeight="0" orientation="portrait" r:id="rId1"/>
  <headerFooter alignWithMargins="0">
    <oddHeader>&amp;C&amp;"Arial,Bold"&amp;14CLASS III+ FAIRS</oddHeader>
    <oddFooter xml:space="preserve">&amp;CFairs and Expositions&amp;R
</oddFooter>
  </headerFooter>
  <rowBreaks count="1" manualBreakCount="1">
    <brk id="76" max="15" man="1"/>
  </rowBreaks>
  <colBreaks count="1" manualBreakCount="1">
    <brk id="9" max="143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44"/>
  <sheetViews>
    <sheetView view="pageBreakPreview" zoomScale="85" zoomScaleNormal="100" zoomScaleSheetLayoutView="85" workbookViewId="0">
      <selection activeCell="E4" sqref="E4"/>
    </sheetView>
  </sheetViews>
  <sheetFormatPr defaultRowHeight="12.75"/>
  <cols>
    <col min="1" max="1" width="4.7109375" style="20" customWidth="1"/>
    <col min="2" max="2" width="56.42578125" style="20" customWidth="1"/>
    <col min="3" max="4" width="12.7109375" style="20" customWidth="1"/>
    <col min="5" max="6" width="12.7109375" style="60" customWidth="1"/>
    <col min="7" max="8" width="12.7109375" style="20" customWidth="1"/>
    <col min="9" max="10" width="12.7109375" style="60" customWidth="1"/>
    <col min="11" max="11" width="14.42578125" style="107" customWidth="1"/>
    <col min="12" max="12" width="13.28515625" style="20" customWidth="1"/>
    <col min="13" max="13" width="10.7109375" style="20" bestFit="1" customWidth="1"/>
    <col min="14" max="16384" width="9.140625" style="20"/>
  </cols>
  <sheetData>
    <row r="1" spans="1:14" ht="12" customHeight="1">
      <c r="A1" s="356"/>
      <c r="B1" s="357"/>
      <c r="C1" s="252"/>
      <c r="D1" s="252"/>
      <c r="E1" s="252"/>
      <c r="F1" s="252"/>
      <c r="G1" s="252"/>
      <c r="H1" s="252"/>
      <c r="I1" s="252"/>
      <c r="J1" s="252"/>
    </row>
    <row r="2" spans="1:14" ht="12" customHeight="1">
      <c r="A2" s="374"/>
      <c r="B2" s="375"/>
      <c r="C2" s="367" t="s">
        <v>167</v>
      </c>
      <c r="D2" s="367" t="s">
        <v>168</v>
      </c>
      <c r="E2" s="367" t="s">
        <v>169</v>
      </c>
      <c r="F2" s="367" t="s">
        <v>170</v>
      </c>
      <c r="G2" s="367" t="s">
        <v>171</v>
      </c>
      <c r="H2" s="367" t="s">
        <v>172</v>
      </c>
      <c r="I2" s="367" t="s">
        <v>173</v>
      </c>
      <c r="J2" s="367" t="s">
        <v>227</v>
      </c>
    </row>
    <row r="3" spans="1:14" ht="69" customHeight="1">
      <c r="A3" s="374"/>
      <c r="B3" s="375"/>
      <c r="C3" s="367"/>
      <c r="D3" s="367"/>
      <c r="E3" s="367"/>
      <c r="F3" s="367"/>
      <c r="G3" s="367"/>
      <c r="H3" s="367"/>
      <c r="I3" s="367"/>
      <c r="J3" s="367"/>
      <c r="L3" s="20" t="s">
        <v>41</v>
      </c>
    </row>
    <row r="4" spans="1:14" ht="13.5" customHeight="1">
      <c r="A4" s="312" t="s">
        <v>205</v>
      </c>
      <c r="B4" s="312"/>
      <c r="C4" s="49"/>
      <c r="D4" s="49"/>
      <c r="E4" s="50"/>
      <c r="F4" s="50"/>
      <c r="G4" s="49"/>
      <c r="H4" s="49"/>
      <c r="I4" s="50"/>
      <c r="J4" s="50"/>
      <c r="K4" s="128"/>
      <c r="L4" s="65"/>
      <c r="M4" s="65"/>
      <c r="N4" s="65"/>
    </row>
    <row r="5" spans="1:14" ht="13.5" customHeight="1">
      <c r="A5" s="255"/>
      <c r="B5" s="36" t="s">
        <v>42</v>
      </c>
      <c r="C5" s="249">
        <v>-16973</v>
      </c>
      <c r="D5" s="249">
        <v>458764</v>
      </c>
      <c r="E5" s="249">
        <v>-54772</v>
      </c>
      <c r="F5" s="249">
        <v>664934</v>
      </c>
      <c r="G5" s="249">
        <v>85118</v>
      </c>
      <c r="H5" s="249">
        <v>11987</v>
      </c>
      <c r="I5" s="249">
        <v>515152</v>
      </c>
      <c r="J5" s="342">
        <v>157046</v>
      </c>
    </row>
    <row r="6" spans="1:14" ht="13.5" customHeight="1">
      <c r="A6" s="255"/>
      <c r="B6" s="28" t="s">
        <v>43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27">
        <v>0</v>
      </c>
    </row>
    <row r="7" spans="1:14" ht="13.5" customHeight="1">
      <c r="A7" s="255"/>
      <c r="B7" s="22" t="s">
        <v>44</v>
      </c>
      <c r="C7" s="41">
        <v>1749550</v>
      </c>
      <c r="D7" s="41">
        <v>3790856.39</v>
      </c>
      <c r="E7" s="41">
        <v>2245201</v>
      </c>
      <c r="F7" s="30">
        <v>1667844</v>
      </c>
      <c r="G7" s="30">
        <v>1925144</v>
      </c>
      <c r="H7" s="30">
        <v>927827</v>
      </c>
      <c r="I7" s="30">
        <v>4273251</v>
      </c>
      <c r="J7" s="27">
        <v>2478234</v>
      </c>
    </row>
    <row r="8" spans="1:14" ht="13.5" customHeight="1">
      <c r="A8" s="255"/>
      <c r="B8" s="22" t="s">
        <v>45</v>
      </c>
      <c r="C8" s="41">
        <v>0</v>
      </c>
      <c r="D8" s="41">
        <v>0</v>
      </c>
      <c r="E8" s="41">
        <v>0</v>
      </c>
      <c r="F8" s="30">
        <v>0</v>
      </c>
      <c r="G8" s="30">
        <v>0</v>
      </c>
      <c r="H8" s="30">
        <v>-763486</v>
      </c>
      <c r="I8" s="30">
        <v>0</v>
      </c>
      <c r="J8" s="30">
        <v>0</v>
      </c>
      <c r="L8" s="31">
        <f>SUM(C8:I8)</f>
        <v>-763486</v>
      </c>
    </row>
    <row r="9" spans="1:14" s="33" customFormat="1" ht="13.5" customHeight="1" thickBot="1">
      <c r="A9" s="256"/>
      <c r="B9" s="115" t="s">
        <v>46</v>
      </c>
      <c r="C9" s="78">
        <f>SUM(C5:C8)</f>
        <v>1732577</v>
      </c>
      <c r="D9" s="78">
        <f t="shared" ref="D9:I9" si="0">SUM(D5:D8)</f>
        <v>4249620.3900000006</v>
      </c>
      <c r="E9" s="78">
        <f t="shared" si="0"/>
        <v>2190429</v>
      </c>
      <c r="F9" s="78">
        <f t="shared" si="0"/>
        <v>2332778</v>
      </c>
      <c r="G9" s="78">
        <f t="shared" si="0"/>
        <v>2010262</v>
      </c>
      <c r="H9" s="78">
        <f t="shared" si="0"/>
        <v>176328</v>
      </c>
      <c r="I9" s="78">
        <f t="shared" si="0"/>
        <v>4788403</v>
      </c>
      <c r="J9" s="78">
        <f t="shared" ref="J9" si="1">SUM(J5:J8)</f>
        <v>2635280</v>
      </c>
      <c r="K9" s="91"/>
      <c r="L9" s="31">
        <f>SUM(C9:I9)</f>
        <v>17480397.390000001</v>
      </c>
    </row>
    <row r="10" spans="1:14" s="33" customFormat="1" ht="13.5" customHeight="1">
      <c r="A10" s="257" t="s">
        <v>47</v>
      </c>
      <c r="B10" s="47"/>
      <c r="C10" s="53"/>
      <c r="D10" s="53"/>
      <c r="E10" s="53"/>
      <c r="F10" s="53"/>
      <c r="G10" s="53"/>
      <c r="H10" s="53"/>
      <c r="I10" s="53"/>
      <c r="J10" s="53"/>
      <c r="K10" s="91"/>
    </row>
    <row r="11" spans="1:14" s="33" customFormat="1" ht="13.5" customHeight="1">
      <c r="A11" s="258"/>
      <c r="B11" s="34" t="s">
        <v>48</v>
      </c>
      <c r="C11" s="35">
        <v>35644</v>
      </c>
      <c r="D11" s="35">
        <v>35644</v>
      </c>
      <c r="E11" s="35">
        <v>35644</v>
      </c>
      <c r="F11" s="35">
        <v>35644</v>
      </c>
      <c r="G11" s="35">
        <v>35644</v>
      </c>
      <c r="H11" s="35">
        <v>35644</v>
      </c>
      <c r="I11" s="35">
        <v>35644</v>
      </c>
      <c r="J11" s="35">
        <v>35644</v>
      </c>
      <c r="K11" s="91"/>
      <c r="L11" s="31">
        <f>SUM(C11:I11)</f>
        <v>249508</v>
      </c>
    </row>
    <row r="12" spans="1:14" s="33" customFormat="1" ht="13.5" customHeight="1">
      <c r="A12" s="258"/>
      <c r="B12" s="34" t="s">
        <v>49</v>
      </c>
      <c r="C12" s="35">
        <v>416502</v>
      </c>
      <c r="D12" s="35">
        <v>13621.44</v>
      </c>
      <c r="E12" s="35">
        <v>0</v>
      </c>
      <c r="F12" s="35">
        <v>0</v>
      </c>
      <c r="G12" s="35">
        <v>0</v>
      </c>
      <c r="H12" s="35">
        <v>0</v>
      </c>
      <c r="I12" s="35">
        <v>2258</v>
      </c>
      <c r="J12" s="35">
        <v>0</v>
      </c>
      <c r="K12" s="91"/>
      <c r="L12" s="31">
        <f>SUM(C12:I12)</f>
        <v>432381.44</v>
      </c>
    </row>
    <row r="13" spans="1:14" s="33" customFormat="1" ht="13.5" customHeight="1" thickBot="1">
      <c r="A13" s="259"/>
      <c r="B13" s="43" t="s">
        <v>50</v>
      </c>
      <c r="C13" s="44">
        <v>0</v>
      </c>
      <c r="D13" s="44">
        <v>2258</v>
      </c>
      <c r="E13" s="44">
        <f>2258+7723</f>
        <v>9981</v>
      </c>
      <c r="F13" s="44">
        <v>2</v>
      </c>
      <c r="G13" s="44">
        <v>2259</v>
      </c>
      <c r="H13" s="44">
        <f>1200000+2258</f>
        <v>1202258</v>
      </c>
      <c r="I13" s="44">
        <v>18750</v>
      </c>
      <c r="J13" s="44">
        <v>0</v>
      </c>
      <c r="K13" s="91"/>
      <c r="L13" s="31">
        <f>SUM(C13:I13)</f>
        <v>1235508</v>
      </c>
    </row>
    <row r="14" spans="1:14" ht="13.5" customHeight="1">
      <c r="A14" s="254" t="s">
        <v>51</v>
      </c>
      <c r="B14" s="36"/>
      <c r="C14" s="38"/>
      <c r="D14" s="38"/>
      <c r="E14" s="39"/>
      <c r="F14" s="39"/>
      <c r="G14" s="38"/>
      <c r="H14" s="38"/>
      <c r="I14" s="39"/>
      <c r="J14" s="39"/>
    </row>
    <row r="15" spans="1:14" ht="13.5" customHeight="1">
      <c r="A15" s="260"/>
      <c r="B15" s="40" t="s">
        <v>52</v>
      </c>
      <c r="C15" s="41">
        <v>278142</v>
      </c>
      <c r="D15" s="41">
        <v>403952</v>
      </c>
      <c r="E15" s="30">
        <v>189078</v>
      </c>
      <c r="F15" s="30">
        <v>442420</v>
      </c>
      <c r="G15" s="41">
        <v>331571</v>
      </c>
      <c r="H15" s="41">
        <v>278351</v>
      </c>
      <c r="I15" s="30">
        <v>425134</v>
      </c>
      <c r="J15" s="30">
        <v>1507097</v>
      </c>
    </row>
    <row r="16" spans="1:14" ht="13.5" customHeight="1">
      <c r="A16" s="260"/>
      <c r="B16" s="40" t="s">
        <v>53</v>
      </c>
      <c r="C16" s="41">
        <v>50128</v>
      </c>
      <c r="D16" s="41">
        <v>95895</v>
      </c>
      <c r="E16" s="30">
        <v>12300</v>
      </c>
      <c r="F16" s="30">
        <v>91054</v>
      </c>
      <c r="G16" s="41">
        <v>145658</v>
      </c>
      <c r="H16" s="41">
        <v>53018</v>
      </c>
      <c r="I16" s="30">
        <v>78054</v>
      </c>
      <c r="J16" s="30">
        <v>241527</v>
      </c>
    </row>
    <row r="17" spans="1:14" ht="13.5" customHeight="1">
      <c r="A17" s="260"/>
      <c r="B17" s="40" t="s">
        <v>54</v>
      </c>
      <c r="C17" s="41">
        <v>225500</v>
      </c>
      <c r="D17" s="41">
        <v>251950</v>
      </c>
      <c r="E17" s="30">
        <v>344812</v>
      </c>
      <c r="F17" s="30">
        <v>327401</v>
      </c>
      <c r="G17" s="41">
        <v>244101</v>
      </c>
      <c r="H17" s="41">
        <v>204474</v>
      </c>
      <c r="I17" s="30">
        <v>247228</v>
      </c>
      <c r="J17" s="30">
        <v>0</v>
      </c>
    </row>
    <row r="18" spans="1:14" ht="13.5" customHeight="1">
      <c r="A18" s="260"/>
      <c r="B18" s="40" t="s">
        <v>55</v>
      </c>
      <c r="C18" s="41">
        <v>164471</v>
      </c>
      <c r="D18" s="41">
        <v>193548</v>
      </c>
      <c r="E18" s="30">
        <v>0</v>
      </c>
      <c r="F18" s="30">
        <v>228908</v>
      </c>
      <c r="G18" s="41">
        <v>171802</v>
      </c>
      <c r="H18" s="41">
        <v>154482</v>
      </c>
      <c r="I18" s="30">
        <v>213461</v>
      </c>
      <c r="J18" s="30">
        <v>288083</v>
      </c>
    </row>
    <row r="19" spans="1:14" ht="13.5" customHeight="1">
      <c r="A19" s="260"/>
      <c r="B19" s="40" t="s">
        <v>56</v>
      </c>
      <c r="C19" s="41">
        <v>19931</v>
      </c>
      <c r="D19" s="41">
        <v>17960</v>
      </c>
      <c r="E19" s="30">
        <v>4538</v>
      </c>
      <c r="F19" s="30">
        <v>48832</v>
      </c>
      <c r="G19" s="41">
        <v>31895</v>
      </c>
      <c r="H19" s="41">
        <v>28243</v>
      </c>
      <c r="I19" s="30">
        <v>73890</v>
      </c>
      <c r="J19" s="30">
        <v>67007</v>
      </c>
    </row>
    <row r="20" spans="1:14" ht="13.5" customHeight="1">
      <c r="A20" s="260"/>
      <c r="B20" s="40" t="s">
        <v>57</v>
      </c>
      <c r="C20" s="41">
        <v>0</v>
      </c>
      <c r="D20" s="41">
        <v>17858</v>
      </c>
      <c r="E20" s="30">
        <v>76065</v>
      </c>
      <c r="F20" s="30">
        <v>0</v>
      </c>
      <c r="G20" s="41">
        <v>1900</v>
      </c>
      <c r="H20" s="41">
        <v>1775</v>
      </c>
      <c r="I20" s="30">
        <v>0</v>
      </c>
      <c r="J20" s="30">
        <v>0</v>
      </c>
    </row>
    <row r="21" spans="1:14" ht="13.5" customHeight="1">
      <c r="A21" s="260"/>
      <c r="B21" s="40" t="s">
        <v>58</v>
      </c>
      <c r="C21" s="42">
        <v>0</v>
      </c>
      <c r="D21" s="42">
        <v>96137</v>
      </c>
      <c r="E21" s="27">
        <v>208431</v>
      </c>
      <c r="F21" s="27">
        <v>0</v>
      </c>
      <c r="G21" s="42">
        <v>0</v>
      </c>
      <c r="H21" s="42">
        <v>0</v>
      </c>
      <c r="I21" s="27">
        <v>0</v>
      </c>
      <c r="J21" s="27">
        <v>0</v>
      </c>
    </row>
    <row r="22" spans="1:14" ht="13.5" customHeight="1">
      <c r="A22" s="260"/>
      <c r="B22" s="40" t="s">
        <v>59</v>
      </c>
      <c r="C22" s="41">
        <v>285094</v>
      </c>
      <c r="D22" s="41">
        <v>0</v>
      </c>
      <c r="E22" s="30">
        <v>250</v>
      </c>
      <c r="F22" s="30">
        <v>0</v>
      </c>
      <c r="G22" s="41">
        <v>324693</v>
      </c>
      <c r="H22" s="41">
        <v>0</v>
      </c>
      <c r="I22" s="30">
        <v>0</v>
      </c>
      <c r="J22" s="30">
        <v>0</v>
      </c>
    </row>
    <row r="23" spans="1:14" ht="13.5" customHeight="1">
      <c r="A23" s="260"/>
      <c r="B23" s="40" t="s">
        <v>60</v>
      </c>
      <c r="C23" s="41">
        <v>0</v>
      </c>
      <c r="D23" s="41">
        <v>393790</v>
      </c>
      <c r="E23" s="30">
        <v>0</v>
      </c>
      <c r="F23" s="30">
        <v>108730</v>
      </c>
      <c r="G23" s="41">
        <v>18495</v>
      </c>
      <c r="H23" s="41">
        <v>20275</v>
      </c>
      <c r="I23" s="30">
        <v>21396</v>
      </c>
      <c r="J23" s="30">
        <v>48213</v>
      </c>
    </row>
    <row r="24" spans="1:14" ht="13.5" customHeight="1">
      <c r="A24" s="260"/>
      <c r="B24" s="40" t="s">
        <v>61</v>
      </c>
      <c r="C24" s="41">
        <v>0</v>
      </c>
      <c r="D24" s="41">
        <v>0</v>
      </c>
      <c r="E24" s="30">
        <v>0</v>
      </c>
      <c r="F24" s="30">
        <v>0</v>
      </c>
      <c r="G24" s="41">
        <v>0</v>
      </c>
      <c r="H24" s="41">
        <v>36122</v>
      </c>
      <c r="I24" s="30">
        <v>0</v>
      </c>
      <c r="J24" s="30">
        <v>0</v>
      </c>
    </row>
    <row r="25" spans="1:14" ht="13.5" customHeight="1">
      <c r="A25" s="260"/>
      <c r="B25" s="40" t="s">
        <v>62</v>
      </c>
      <c r="C25" s="41">
        <v>0</v>
      </c>
      <c r="D25" s="41">
        <v>0</v>
      </c>
      <c r="E25" s="30">
        <v>0</v>
      </c>
      <c r="F25" s="30">
        <v>0</v>
      </c>
      <c r="G25" s="41">
        <v>0</v>
      </c>
      <c r="H25" s="41">
        <v>0</v>
      </c>
      <c r="I25" s="30">
        <v>0</v>
      </c>
      <c r="J25" s="30">
        <v>0</v>
      </c>
    </row>
    <row r="26" spans="1:14" ht="13.5" customHeight="1">
      <c r="A26" s="260"/>
      <c r="B26" s="40" t="s">
        <v>63</v>
      </c>
      <c r="C26" s="41">
        <v>125032</v>
      </c>
      <c r="D26" s="41">
        <v>239034</v>
      </c>
      <c r="E26" s="30">
        <v>68145</v>
      </c>
      <c r="F26" s="30">
        <v>257196</v>
      </c>
      <c r="G26" s="41">
        <v>253297</v>
      </c>
      <c r="H26" s="41">
        <v>216527</v>
      </c>
      <c r="I26" s="30">
        <v>274125</v>
      </c>
      <c r="J26" s="30">
        <v>274755</v>
      </c>
    </row>
    <row r="27" spans="1:14" ht="13.5" customHeight="1">
      <c r="A27" s="260"/>
      <c r="B27" s="40" t="s">
        <v>151</v>
      </c>
      <c r="C27" s="41">
        <v>0</v>
      </c>
      <c r="D27" s="41">
        <v>0</v>
      </c>
      <c r="E27" s="30">
        <v>0</v>
      </c>
      <c r="F27" s="30">
        <v>315993</v>
      </c>
      <c r="G27" s="41">
        <v>69584</v>
      </c>
      <c r="H27" s="41">
        <v>0</v>
      </c>
      <c r="I27" s="30">
        <v>532581</v>
      </c>
      <c r="J27" s="30">
        <v>500</v>
      </c>
    </row>
    <row r="28" spans="1:14" ht="13.5" customHeight="1">
      <c r="A28" s="260"/>
      <c r="B28" s="40" t="s">
        <v>65</v>
      </c>
      <c r="C28" s="41">
        <v>1008425</v>
      </c>
      <c r="D28" s="41">
        <v>621222</v>
      </c>
      <c r="E28" s="30">
        <v>1321864</v>
      </c>
      <c r="F28" s="30">
        <v>440079</v>
      </c>
      <c r="G28" s="41">
        <v>993731</v>
      </c>
      <c r="H28" s="41">
        <v>740790</v>
      </c>
      <c r="I28" s="30">
        <v>667490</v>
      </c>
      <c r="J28" s="30">
        <v>32137</v>
      </c>
      <c r="L28" s="31">
        <f>SUM(C28:I28)</f>
        <v>5793601</v>
      </c>
    </row>
    <row r="29" spans="1:14" ht="13.5" customHeight="1">
      <c r="A29" s="260"/>
      <c r="B29" s="40" t="s">
        <v>66</v>
      </c>
      <c r="C29" s="41">
        <v>6011</v>
      </c>
      <c r="D29" s="41">
        <v>0</v>
      </c>
      <c r="E29" s="30">
        <v>1985</v>
      </c>
      <c r="F29" s="30">
        <v>8787</v>
      </c>
      <c r="G29" s="41">
        <v>369</v>
      </c>
      <c r="H29" s="41">
        <v>-1421</v>
      </c>
      <c r="I29" s="30">
        <v>597</v>
      </c>
      <c r="J29" s="30">
        <v>0</v>
      </c>
      <c r="L29" s="31">
        <f>SUM(C29:I29)</f>
        <v>16328</v>
      </c>
    </row>
    <row r="30" spans="1:14" ht="13.5" customHeight="1">
      <c r="A30" s="260"/>
      <c r="B30" s="40" t="s">
        <v>67</v>
      </c>
      <c r="C30" s="42">
        <v>31044</v>
      </c>
      <c r="D30" s="42">
        <v>84399</v>
      </c>
      <c r="E30" s="27">
        <v>2100</v>
      </c>
      <c r="F30" s="27">
        <v>3258</v>
      </c>
      <c r="G30" s="42">
        <v>7589</v>
      </c>
      <c r="H30" s="42">
        <v>12748</v>
      </c>
      <c r="I30" s="27">
        <v>6683</v>
      </c>
      <c r="J30" s="27">
        <v>0</v>
      </c>
      <c r="L30" s="31">
        <f>SUM(C30:I30)</f>
        <v>147821</v>
      </c>
      <c r="M30" s="31">
        <f>+L30+L29+L8</f>
        <v>-599337</v>
      </c>
      <c r="N30" s="20" t="s">
        <v>68</v>
      </c>
    </row>
    <row r="31" spans="1:14" s="33" customFormat="1" ht="13.5" customHeight="1" thickBot="1">
      <c r="A31" s="256" t="s">
        <v>69</v>
      </c>
      <c r="B31" s="43"/>
      <c r="C31" s="44">
        <f t="shared" ref="C31:I31" si="2">SUM(C15:C30)</f>
        <v>2193778</v>
      </c>
      <c r="D31" s="44">
        <f t="shared" si="2"/>
        <v>2415745</v>
      </c>
      <c r="E31" s="44">
        <f t="shared" si="2"/>
        <v>2229568</v>
      </c>
      <c r="F31" s="44">
        <f t="shared" si="2"/>
        <v>2272658</v>
      </c>
      <c r="G31" s="44">
        <f t="shared" si="2"/>
        <v>2594685</v>
      </c>
      <c r="H31" s="44">
        <f t="shared" si="2"/>
        <v>1745384</v>
      </c>
      <c r="I31" s="44">
        <f t="shared" si="2"/>
        <v>2540639</v>
      </c>
      <c r="J31" s="44">
        <f t="shared" ref="J31" si="3">SUM(J15:J30)</f>
        <v>2459319</v>
      </c>
      <c r="K31" s="132">
        <f>AVERAGE(C31:J31)</f>
        <v>2306472</v>
      </c>
      <c r="L31" s="45">
        <f>SUM(C31:I31)+SUM(C11:I13)</f>
        <v>17909854.440000001</v>
      </c>
    </row>
    <row r="32" spans="1:14" ht="13.5" customHeight="1">
      <c r="A32" s="254" t="s">
        <v>71</v>
      </c>
      <c r="B32" s="36"/>
      <c r="C32" s="38"/>
      <c r="D32" s="38"/>
      <c r="E32" s="39"/>
      <c r="F32" s="39"/>
      <c r="G32" s="38"/>
      <c r="H32" s="38"/>
      <c r="I32" s="39"/>
      <c r="J32" s="39"/>
    </row>
    <row r="33" spans="1:12" ht="13.5" customHeight="1">
      <c r="A33" s="260"/>
      <c r="B33" s="40" t="s">
        <v>72</v>
      </c>
      <c r="C33" s="41">
        <v>406467</v>
      </c>
      <c r="D33" s="41">
        <v>690223</v>
      </c>
      <c r="E33" s="30">
        <v>476146</v>
      </c>
      <c r="F33" s="30">
        <v>336616</v>
      </c>
      <c r="G33" s="41">
        <v>439254</v>
      </c>
      <c r="H33" s="41">
        <v>285104</v>
      </c>
      <c r="I33" s="30">
        <v>421622</v>
      </c>
      <c r="J33" s="30">
        <v>313767</v>
      </c>
      <c r="L33" s="31">
        <f>SUM(C33:I33)</f>
        <v>3055432</v>
      </c>
    </row>
    <row r="34" spans="1:12" ht="13.5" customHeight="1">
      <c r="A34" s="260"/>
      <c r="B34" s="40" t="s">
        <v>73</v>
      </c>
      <c r="C34" s="41">
        <v>531164</v>
      </c>
      <c r="D34" s="41">
        <v>651194</v>
      </c>
      <c r="E34" s="30">
        <v>1042517</v>
      </c>
      <c r="F34" s="30">
        <v>853776</v>
      </c>
      <c r="G34" s="41">
        <v>536805</v>
      </c>
      <c r="H34" s="41">
        <v>567625</v>
      </c>
      <c r="I34" s="30">
        <v>553379</v>
      </c>
      <c r="J34" s="30">
        <v>378973</v>
      </c>
      <c r="L34" s="31">
        <f>SUM(C34:I34)</f>
        <v>4736460</v>
      </c>
    </row>
    <row r="35" spans="1:12" ht="13.5" customHeight="1">
      <c r="A35" s="260"/>
      <c r="B35" s="40" t="s">
        <v>74</v>
      </c>
      <c r="C35" s="41">
        <v>93051</v>
      </c>
      <c r="D35" s="41">
        <v>50773</v>
      </c>
      <c r="E35" s="30">
        <v>82216</v>
      </c>
      <c r="F35" s="30">
        <v>82638</v>
      </c>
      <c r="G35" s="41">
        <v>98757</v>
      </c>
      <c r="H35" s="41">
        <v>146374</v>
      </c>
      <c r="I35" s="30">
        <v>84180</v>
      </c>
      <c r="J35" s="30">
        <v>167926</v>
      </c>
    </row>
    <row r="36" spans="1:12" ht="13.5" customHeight="1">
      <c r="A36" s="260"/>
      <c r="B36" s="40" t="s">
        <v>75</v>
      </c>
      <c r="C36" s="41">
        <v>30770</v>
      </c>
      <c r="D36" s="41">
        <v>179291</v>
      </c>
      <c r="E36" s="30">
        <v>23857</v>
      </c>
      <c r="F36" s="30">
        <v>45947</v>
      </c>
      <c r="G36" s="41">
        <v>146435</v>
      </c>
      <c r="H36" s="41">
        <v>142131</v>
      </c>
      <c r="I36" s="30">
        <v>294616</v>
      </c>
      <c r="J36" s="30">
        <v>227957</v>
      </c>
    </row>
    <row r="37" spans="1:12" ht="13.5" customHeight="1">
      <c r="A37" s="260"/>
      <c r="B37" s="40" t="s">
        <v>63</v>
      </c>
      <c r="C37" s="41">
        <v>43274</v>
      </c>
      <c r="D37" s="41">
        <v>91405</v>
      </c>
      <c r="E37" s="30">
        <v>41822</v>
      </c>
      <c r="F37" s="30">
        <v>157555</v>
      </c>
      <c r="G37" s="41">
        <v>30394</v>
      </c>
      <c r="H37" s="41">
        <v>80426</v>
      </c>
      <c r="I37" s="30">
        <v>71372</v>
      </c>
      <c r="J37" s="30">
        <v>57631</v>
      </c>
    </row>
    <row r="38" spans="1:12" ht="13.5" customHeight="1">
      <c r="A38" s="260"/>
      <c r="B38" s="40" t="s">
        <v>76</v>
      </c>
      <c r="C38" s="41">
        <v>147536</v>
      </c>
      <c r="D38" s="41">
        <v>95807</v>
      </c>
      <c r="E38" s="30">
        <v>4476</v>
      </c>
      <c r="F38" s="30">
        <v>73724</v>
      </c>
      <c r="G38" s="41">
        <v>78289</v>
      </c>
      <c r="H38" s="41">
        <v>0</v>
      </c>
      <c r="I38" s="30">
        <v>235448</v>
      </c>
      <c r="J38" s="30">
        <v>12500</v>
      </c>
    </row>
    <row r="39" spans="1:12" ht="13.5" customHeight="1">
      <c r="A39" s="260"/>
      <c r="B39" s="40" t="s">
        <v>77</v>
      </c>
      <c r="C39" s="41">
        <v>38330</v>
      </c>
      <c r="D39" s="41">
        <v>38660</v>
      </c>
      <c r="E39" s="30">
        <v>47129</v>
      </c>
      <c r="F39" s="30">
        <v>2303</v>
      </c>
      <c r="G39" s="41">
        <v>22574</v>
      </c>
      <c r="H39" s="41">
        <v>37240</v>
      </c>
      <c r="I39" s="30">
        <v>28757</v>
      </c>
      <c r="J39" s="30">
        <v>104509</v>
      </c>
    </row>
    <row r="40" spans="1:12" ht="13.5" customHeight="1">
      <c r="A40" s="260"/>
      <c r="B40" s="40" t="s">
        <v>56</v>
      </c>
      <c r="C40" s="41">
        <v>225184</v>
      </c>
      <c r="D40" s="41">
        <v>82470</v>
      </c>
      <c r="E40" s="30">
        <v>67335</v>
      </c>
      <c r="F40" s="30">
        <v>22571</v>
      </c>
      <c r="G40" s="41">
        <v>45598</v>
      </c>
      <c r="H40" s="41">
        <v>80507</v>
      </c>
      <c r="I40" s="30">
        <v>101593</v>
      </c>
      <c r="J40" s="30">
        <v>177380</v>
      </c>
    </row>
    <row r="41" spans="1:12" ht="13.5" customHeight="1">
      <c r="A41" s="260"/>
      <c r="B41" s="40" t="s">
        <v>57</v>
      </c>
      <c r="C41" s="41">
        <v>0</v>
      </c>
      <c r="D41" s="41">
        <v>3375</v>
      </c>
      <c r="E41" s="30">
        <v>169978</v>
      </c>
      <c r="F41" s="30">
        <v>0</v>
      </c>
      <c r="G41" s="41">
        <v>1230</v>
      </c>
      <c r="H41" s="41">
        <v>686</v>
      </c>
      <c r="I41" s="30">
        <v>200</v>
      </c>
      <c r="J41" s="30">
        <v>0</v>
      </c>
    </row>
    <row r="42" spans="1:12" ht="13.5" customHeight="1">
      <c r="A42" s="260"/>
      <c r="B42" s="40" t="s">
        <v>58</v>
      </c>
      <c r="C42" s="41">
        <v>0</v>
      </c>
      <c r="D42" s="41">
        <v>38976</v>
      </c>
      <c r="E42" s="30">
        <v>0</v>
      </c>
      <c r="F42" s="30">
        <v>0</v>
      </c>
      <c r="G42" s="41">
        <v>0</v>
      </c>
      <c r="H42" s="41">
        <v>0</v>
      </c>
      <c r="I42" s="30">
        <v>0</v>
      </c>
      <c r="J42" s="30">
        <v>0</v>
      </c>
    </row>
    <row r="43" spans="1:12" ht="13.5" customHeight="1">
      <c r="A43" s="260"/>
      <c r="B43" s="40" t="s">
        <v>59</v>
      </c>
      <c r="C43" s="41">
        <v>306022</v>
      </c>
      <c r="D43" s="41">
        <v>0</v>
      </c>
      <c r="E43" s="30">
        <v>56023</v>
      </c>
      <c r="F43" s="30">
        <v>0</v>
      </c>
      <c r="G43" s="41">
        <v>194688</v>
      </c>
      <c r="H43" s="41">
        <v>0</v>
      </c>
      <c r="I43" s="30">
        <v>0</v>
      </c>
      <c r="J43" s="30">
        <v>0</v>
      </c>
    </row>
    <row r="44" spans="1:12" ht="13.5" customHeight="1">
      <c r="A44" s="260"/>
      <c r="B44" s="40" t="s">
        <v>78</v>
      </c>
      <c r="C44" s="41">
        <v>270646</v>
      </c>
      <c r="D44" s="41">
        <v>180914</v>
      </c>
      <c r="E44" s="30">
        <v>0</v>
      </c>
      <c r="F44" s="30">
        <v>397395</v>
      </c>
      <c r="G44" s="41">
        <v>332929</v>
      </c>
      <c r="H44" s="41">
        <v>243342</v>
      </c>
      <c r="I44" s="30">
        <v>410332</v>
      </c>
      <c r="J44" s="30">
        <v>891390</v>
      </c>
    </row>
    <row r="45" spans="1:12" ht="13.5" customHeight="1">
      <c r="A45" s="260"/>
      <c r="B45" s="40" t="s">
        <v>61</v>
      </c>
      <c r="C45" s="41">
        <v>0</v>
      </c>
      <c r="D45" s="41">
        <v>0</v>
      </c>
      <c r="E45" s="30">
        <v>0</v>
      </c>
      <c r="F45" s="30">
        <v>0</v>
      </c>
      <c r="G45" s="41">
        <v>0</v>
      </c>
      <c r="H45" s="41">
        <v>0</v>
      </c>
      <c r="I45" s="30">
        <v>0</v>
      </c>
      <c r="J45" s="30">
        <v>0</v>
      </c>
    </row>
    <row r="46" spans="1:12" ht="13.5" customHeight="1">
      <c r="A46" s="260"/>
      <c r="B46" s="40" t="s">
        <v>79</v>
      </c>
      <c r="C46" s="41">
        <v>0</v>
      </c>
      <c r="D46" s="41">
        <v>242143</v>
      </c>
      <c r="E46" s="30">
        <v>14561</v>
      </c>
      <c r="F46" s="30">
        <v>0</v>
      </c>
      <c r="G46" s="41">
        <v>210262</v>
      </c>
      <c r="H46" s="41">
        <v>0</v>
      </c>
      <c r="I46" s="30">
        <v>199795</v>
      </c>
      <c r="J46" s="30">
        <v>0</v>
      </c>
    </row>
    <row r="47" spans="1:12" ht="13.5" customHeight="1">
      <c r="A47" s="260"/>
      <c r="B47" s="40" t="s">
        <v>80</v>
      </c>
      <c r="C47" s="41">
        <v>10014</v>
      </c>
      <c r="D47" s="41">
        <v>9478</v>
      </c>
      <c r="E47" s="30">
        <v>0</v>
      </c>
      <c r="F47" s="30">
        <v>0</v>
      </c>
      <c r="G47" s="41">
        <v>25373</v>
      </c>
      <c r="H47" s="41">
        <v>234</v>
      </c>
      <c r="I47" s="30">
        <v>191</v>
      </c>
      <c r="J47" s="30">
        <v>0</v>
      </c>
    </row>
    <row r="48" spans="1:12" ht="13.5" customHeight="1">
      <c r="A48" s="260"/>
      <c r="B48" s="40" t="s">
        <v>81</v>
      </c>
      <c r="C48" s="41">
        <v>11781</v>
      </c>
      <c r="D48" s="41">
        <v>638</v>
      </c>
      <c r="E48" s="30">
        <v>7921</v>
      </c>
      <c r="F48" s="30">
        <v>11118</v>
      </c>
      <c r="G48" s="41">
        <v>412</v>
      </c>
      <c r="H48" s="41">
        <v>-2064</v>
      </c>
      <c r="I48" s="30">
        <v>-4012</v>
      </c>
      <c r="J48" s="30">
        <v>0</v>
      </c>
      <c r="L48" s="31"/>
    </row>
    <row r="49" spans="1:12" ht="13.5" customHeight="1">
      <c r="A49" s="260"/>
      <c r="B49" s="40" t="s">
        <v>82</v>
      </c>
      <c r="C49" s="41">
        <v>580</v>
      </c>
      <c r="D49" s="41">
        <v>16721</v>
      </c>
      <c r="E49" s="30">
        <v>198</v>
      </c>
      <c r="F49" s="30">
        <v>1424</v>
      </c>
      <c r="G49" s="41">
        <v>680</v>
      </c>
      <c r="H49" s="41">
        <v>336</v>
      </c>
      <c r="I49" s="30">
        <v>0</v>
      </c>
      <c r="J49" s="30">
        <v>0</v>
      </c>
    </row>
    <row r="50" spans="1:12" ht="13.5" customHeight="1">
      <c r="A50" s="260"/>
      <c r="B50" s="40" t="s">
        <v>83</v>
      </c>
      <c r="C50" s="41">
        <v>0</v>
      </c>
      <c r="D50" s="41">
        <v>1</v>
      </c>
      <c r="E50" s="30">
        <v>0</v>
      </c>
      <c r="F50" s="30">
        <v>0</v>
      </c>
      <c r="G50" s="41">
        <v>0</v>
      </c>
      <c r="H50" s="41">
        <v>0</v>
      </c>
      <c r="I50" s="30">
        <v>0</v>
      </c>
      <c r="J50" s="30">
        <v>0</v>
      </c>
    </row>
    <row r="51" spans="1:12" s="33" customFormat="1" ht="13.5" customHeight="1" thickBot="1">
      <c r="A51" s="256" t="s">
        <v>84</v>
      </c>
      <c r="B51" s="43"/>
      <c r="C51" s="44">
        <f t="shared" ref="C51:I51" si="4">SUM(C33:C50)</f>
        <v>2114819</v>
      </c>
      <c r="D51" s="44">
        <f t="shared" si="4"/>
        <v>2372069</v>
      </c>
      <c r="E51" s="44">
        <f t="shared" si="4"/>
        <v>2034179</v>
      </c>
      <c r="F51" s="44">
        <f t="shared" si="4"/>
        <v>1985067</v>
      </c>
      <c r="G51" s="44">
        <f t="shared" si="4"/>
        <v>2163680</v>
      </c>
      <c r="H51" s="44">
        <f t="shared" si="4"/>
        <v>1581941</v>
      </c>
      <c r="I51" s="44">
        <f t="shared" si="4"/>
        <v>2397473</v>
      </c>
      <c r="J51" s="44">
        <f t="shared" ref="J51" si="5">SUM(J33:J50)</f>
        <v>2332033</v>
      </c>
      <c r="K51" s="132">
        <f>AVERAGE(C51:J51)</f>
        <v>2122657.625</v>
      </c>
      <c r="L51" s="31">
        <f>SUM(C51:I51)</f>
        <v>14649228</v>
      </c>
    </row>
    <row r="52" spans="1:12" ht="13.5" customHeight="1">
      <c r="A52" s="271" t="s">
        <v>85</v>
      </c>
      <c r="B52" s="87"/>
      <c r="C52" s="88"/>
      <c r="D52" s="88"/>
      <c r="E52" s="90"/>
      <c r="F52" s="90"/>
      <c r="G52" s="88"/>
      <c r="H52" s="88"/>
      <c r="I52" s="90"/>
      <c r="J52" s="90"/>
      <c r="L52" s="31"/>
    </row>
    <row r="53" spans="1:12" s="33" customFormat="1" ht="13.5" customHeight="1">
      <c r="A53" s="258"/>
      <c r="B53" s="34" t="s">
        <v>86</v>
      </c>
      <c r="C53" s="35">
        <v>128128</v>
      </c>
      <c r="D53" s="35">
        <v>183804.34</v>
      </c>
      <c r="E53" s="35">
        <v>242505</v>
      </c>
      <c r="F53" s="35">
        <v>95025</v>
      </c>
      <c r="G53" s="35">
        <v>134231</v>
      </c>
      <c r="H53" s="35">
        <v>111326</v>
      </c>
      <c r="I53" s="35">
        <v>233358</v>
      </c>
      <c r="J53" s="35">
        <v>73745</v>
      </c>
      <c r="K53" s="91"/>
      <c r="L53" s="31">
        <f>SUM(C53:I53)</f>
        <v>1128377.3399999999</v>
      </c>
    </row>
    <row r="54" spans="1:12" s="33" customFormat="1" ht="13.5" customHeight="1">
      <c r="A54" s="261"/>
      <c r="B54" s="47" t="s">
        <v>207</v>
      </c>
      <c r="C54" s="35">
        <v>1321993</v>
      </c>
      <c r="D54" s="53">
        <v>1137085.53</v>
      </c>
      <c r="E54" s="53">
        <v>1457822</v>
      </c>
      <c r="F54" s="53">
        <v>827026</v>
      </c>
      <c r="G54" s="53">
        <v>1185079</v>
      </c>
      <c r="H54" s="53">
        <v>74447</v>
      </c>
      <c r="I54" s="53">
        <v>1328567</v>
      </c>
      <c r="J54" s="53">
        <v>0</v>
      </c>
      <c r="K54" s="91"/>
      <c r="L54" s="31">
        <f>SUM(C54:I54)</f>
        <v>7332019.5300000003</v>
      </c>
    </row>
    <row r="55" spans="1:12" s="33" customFormat="1" ht="13.5" customHeight="1">
      <c r="A55" s="257" t="s">
        <v>208</v>
      </c>
      <c r="B55" s="47"/>
      <c r="C55" s="35">
        <f t="shared" ref="C55:I55" si="6">+C31-C51</f>
        <v>78959</v>
      </c>
      <c r="D55" s="35">
        <f t="shared" si="6"/>
        <v>43676</v>
      </c>
      <c r="E55" s="35">
        <f t="shared" si="6"/>
        <v>195389</v>
      </c>
      <c r="F55" s="35">
        <f t="shared" si="6"/>
        <v>287591</v>
      </c>
      <c r="G55" s="35">
        <f t="shared" si="6"/>
        <v>431005</v>
      </c>
      <c r="H55" s="35">
        <f t="shared" si="6"/>
        <v>163443</v>
      </c>
      <c r="I55" s="35">
        <f t="shared" si="6"/>
        <v>143166</v>
      </c>
      <c r="J55" s="35">
        <f t="shared" ref="J55" si="7">+J31-J51</f>
        <v>127286</v>
      </c>
      <c r="K55" s="132">
        <f>AVERAGE(C55:J55)</f>
        <v>183814.375</v>
      </c>
    </row>
    <row r="56" spans="1:12" s="33" customFormat="1" ht="13.5" customHeight="1">
      <c r="A56" s="257" t="s">
        <v>209</v>
      </c>
      <c r="B56" s="47"/>
      <c r="C56" s="35">
        <f>+C31-C51-C53-C54</f>
        <v>-1371162</v>
      </c>
      <c r="D56" s="35">
        <f t="shared" ref="D56:I56" si="8">+D31-D51-D53-D54</f>
        <v>-1277213.8700000001</v>
      </c>
      <c r="E56" s="35">
        <f t="shared" si="8"/>
        <v>-1504938</v>
      </c>
      <c r="F56" s="35">
        <f t="shared" si="8"/>
        <v>-634460</v>
      </c>
      <c r="G56" s="35">
        <f t="shared" si="8"/>
        <v>-888305</v>
      </c>
      <c r="H56" s="35">
        <f t="shared" si="8"/>
        <v>-22330</v>
      </c>
      <c r="I56" s="35">
        <f t="shared" si="8"/>
        <v>-1418759</v>
      </c>
      <c r="J56" s="35">
        <f t="shared" ref="J56" si="9">+J31-J51-J53-J54</f>
        <v>53541</v>
      </c>
      <c r="K56" s="132">
        <f>AVERAGE(C56:J56)</f>
        <v>-882953.35875000001</v>
      </c>
    </row>
    <row r="57" spans="1:12" s="33" customFormat="1" ht="13.5" customHeight="1">
      <c r="A57" s="257" t="s">
        <v>210</v>
      </c>
      <c r="B57" s="47"/>
      <c r="C57" s="35">
        <f t="shared" ref="C57:I57" si="10">+C11+C12+C13+C31+-C51</f>
        <v>531105</v>
      </c>
      <c r="D57" s="35">
        <f t="shared" si="10"/>
        <v>95199.439999999944</v>
      </c>
      <c r="E57" s="35">
        <f t="shared" si="10"/>
        <v>241014</v>
      </c>
      <c r="F57" s="35">
        <f t="shared" si="10"/>
        <v>323237</v>
      </c>
      <c r="G57" s="35">
        <f t="shared" si="10"/>
        <v>468908</v>
      </c>
      <c r="H57" s="35">
        <f t="shared" si="10"/>
        <v>1401345</v>
      </c>
      <c r="I57" s="35">
        <f t="shared" si="10"/>
        <v>199818</v>
      </c>
      <c r="J57" s="35">
        <f t="shared" ref="J57" si="11">+J11+J12+J13+J31+-J51</f>
        <v>162930</v>
      </c>
      <c r="K57" s="132">
        <f>AVERAGE(C57:J57)</f>
        <v>427944.55499999999</v>
      </c>
    </row>
    <row r="58" spans="1:12" s="33" customFormat="1" ht="13.5" customHeight="1">
      <c r="A58" s="257" t="s">
        <v>211</v>
      </c>
      <c r="B58" s="47"/>
      <c r="C58" s="35">
        <f>+C11+C12+C13+C31-C51-C53-C54</f>
        <v>-919016</v>
      </c>
      <c r="D58" s="35">
        <f t="shared" ref="D58:I58" si="12">+D11+D12+D13+D31-D51-D53-D54</f>
        <v>-1225690.4300000002</v>
      </c>
      <c r="E58" s="35">
        <f t="shared" si="12"/>
        <v>-1459313</v>
      </c>
      <c r="F58" s="35">
        <f t="shared" si="12"/>
        <v>-598814</v>
      </c>
      <c r="G58" s="35">
        <f t="shared" si="12"/>
        <v>-850402</v>
      </c>
      <c r="H58" s="35">
        <f t="shared" si="12"/>
        <v>1215572</v>
      </c>
      <c r="I58" s="35">
        <f t="shared" si="12"/>
        <v>-1362107</v>
      </c>
      <c r="J58" s="35">
        <f t="shared" ref="J58" si="13">+J11+J12+J13+J31-J51-J53-J54</f>
        <v>89185</v>
      </c>
      <c r="K58" s="132">
        <f>AVERAGE(C58:J58)</f>
        <v>-638823.17874999996</v>
      </c>
      <c r="L58" s="45">
        <f>SUM(C58:I58)</f>
        <v>-5199770.43</v>
      </c>
    </row>
    <row r="59" spans="1:12" ht="13.5" customHeight="1">
      <c r="A59" s="255" t="s">
        <v>206</v>
      </c>
      <c r="B59" s="22"/>
      <c r="C59" s="49"/>
      <c r="D59" s="49"/>
      <c r="E59" s="49"/>
      <c r="F59" s="50"/>
      <c r="G59" s="49"/>
      <c r="H59" s="49"/>
      <c r="I59" s="49"/>
      <c r="J59" s="49"/>
    </row>
    <row r="60" spans="1:12" ht="13.5" customHeight="1">
      <c r="A60" s="254"/>
      <c r="B60" s="36" t="s">
        <v>42</v>
      </c>
      <c r="C60" s="42">
        <v>-19497</v>
      </c>
      <c r="D60" s="42">
        <f>281925.16+287070.35</f>
        <v>568995.51</v>
      </c>
      <c r="E60" s="42">
        <v>-82321</v>
      </c>
      <c r="F60" s="27">
        <v>914004</v>
      </c>
      <c r="G60" s="27">
        <v>422794</v>
      </c>
      <c r="H60" s="27">
        <v>9564</v>
      </c>
      <c r="I60" s="27">
        <v>466166</v>
      </c>
      <c r="J60" s="27">
        <v>319975.78000000003</v>
      </c>
      <c r="K60" s="107">
        <f>SUM(C60:J60)/8</f>
        <v>324960.16125</v>
      </c>
      <c r="L60" s="31"/>
    </row>
    <row r="61" spans="1:12" ht="13.5" customHeight="1">
      <c r="A61" s="254"/>
      <c r="B61" s="36" t="s">
        <v>220</v>
      </c>
      <c r="C61" s="42">
        <v>-1273483</v>
      </c>
      <c r="D61" s="42">
        <v>-1011484.69</v>
      </c>
      <c r="E61" s="42">
        <v>-1330010</v>
      </c>
      <c r="F61" s="27">
        <v>-797109</v>
      </c>
      <c r="G61" s="27">
        <v>-1103791</v>
      </c>
      <c r="H61" s="27">
        <v>-750868</v>
      </c>
      <c r="I61" s="27">
        <v>-1203071</v>
      </c>
      <c r="J61" s="27">
        <v>0</v>
      </c>
      <c r="L61" s="31"/>
    </row>
    <row r="62" spans="1:12" ht="13.5" customHeight="1">
      <c r="A62" s="254"/>
      <c r="B62" s="36" t="s">
        <v>43</v>
      </c>
      <c r="C62" s="42">
        <v>0</v>
      </c>
      <c r="D62" s="42">
        <v>0</v>
      </c>
      <c r="E62" s="42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107">
        <f>MAX(B60:J60)</f>
        <v>914004</v>
      </c>
    </row>
    <row r="63" spans="1:12" s="51" customFormat="1" ht="13.5" customHeight="1">
      <c r="A63" s="254"/>
      <c r="B63" s="36" t="s">
        <v>44</v>
      </c>
      <c r="C63" s="42">
        <v>2106541</v>
      </c>
      <c r="D63" s="42">
        <f>3753489.84-287070.35</f>
        <v>3466419.4899999998</v>
      </c>
      <c r="E63" s="42">
        <v>2143450</v>
      </c>
      <c r="F63" s="27">
        <v>1617069</v>
      </c>
      <c r="G63" s="27">
        <v>1840855</v>
      </c>
      <c r="H63" s="27">
        <v>2133206</v>
      </c>
      <c r="I63" s="27">
        <v>4163200</v>
      </c>
      <c r="J63" s="27">
        <v>2404489</v>
      </c>
      <c r="K63" s="133">
        <f>MIN(C60:J60)</f>
        <v>-82321</v>
      </c>
      <c r="L63" s="117"/>
    </row>
    <row r="64" spans="1:12" s="33" customFormat="1" ht="13.5" customHeight="1">
      <c r="A64" s="257"/>
      <c r="B64" s="52" t="s">
        <v>46</v>
      </c>
      <c r="C64" s="68">
        <f>SUM(C60:C63)</f>
        <v>813561</v>
      </c>
      <c r="D64" s="68">
        <f t="shared" ref="D64:I64" si="14">SUM(D60:D63)</f>
        <v>3023930.3099999996</v>
      </c>
      <c r="E64" s="68">
        <f t="shared" si="14"/>
        <v>731119</v>
      </c>
      <c r="F64" s="68">
        <f t="shared" si="14"/>
        <v>1733964</v>
      </c>
      <c r="G64" s="68">
        <f t="shared" si="14"/>
        <v>1159858</v>
      </c>
      <c r="H64" s="68">
        <f t="shared" si="14"/>
        <v>1391902</v>
      </c>
      <c r="I64" s="68">
        <f t="shared" si="14"/>
        <v>3426295</v>
      </c>
      <c r="J64" s="68">
        <f t="shared" ref="J64" si="15">SUM(J60:J63)</f>
        <v>2724464.7800000003</v>
      </c>
      <c r="K64" s="91"/>
    </row>
    <row r="65" spans="1:11" s="230" customFormat="1" ht="13.5" customHeight="1">
      <c r="A65" s="263" t="s">
        <v>87</v>
      </c>
      <c r="B65" s="224"/>
      <c r="C65" s="278">
        <f t="shared" ref="C65:I65" si="16">C60/(C51)</f>
        <v>-9.2192286904931343E-3</v>
      </c>
      <c r="D65" s="278">
        <f t="shared" si="16"/>
        <v>0.2398730854793853</v>
      </c>
      <c r="E65" s="278">
        <f t="shared" si="16"/>
        <v>-4.0468906620312176E-2</v>
      </c>
      <c r="F65" s="278">
        <f t="shared" si="16"/>
        <v>0.46043987432162237</v>
      </c>
      <c r="G65" s="278">
        <f t="shared" si="16"/>
        <v>0.19540505065444058</v>
      </c>
      <c r="H65" s="278">
        <f t="shared" si="16"/>
        <v>6.0457374832563289E-3</v>
      </c>
      <c r="I65" s="278">
        <f t="shared" si="16"/>
        <v>0.19444056304283719</v>
      </c>
      <c r="J65" s="277">
        <f t="shared" ref="J65" si="17">J60/(J51)</f>
        <v>0.1372089417259533</v>
      </c>
      <c r="K65" s="229">
        <f>AVERAGE(C65:J65)</f>
        <v>0.14796563967458623</v>
      </c>
    </row>
    <row r="66" spans="1:11" hidden="1">
      <c r="A66" s="222"/>
      <c r="B66" s="62" t="s">
        <v>88</v>
      </c>
      <c r="C66" s="94">
        <f>+C9+C11+C12+C13+C31-C51-C53-C64-C54</f>
        <v>0</v>
      </c>
      <c r="D66" s="94">
        <f t="shared" ref="D66:I66" si="18">+D9+D11+D12+D13+D31-D51-D53-D64-D54</f>
        <v>-0.34999999846331775</v>
      </c>
      <c r="E66" s="94">
        <f t="shared" si="18"/>
        <v>-3</v>
      </c>
      <c r="F66" s="94">
        <f t="shared" si="18"/>
        <v>0</v>
      </c>
      <c r="G66" s="94">
        <f t="shared" si="18"/>
        <v>2</v>
      </c>
      <c r="H66" s="94">
        <f t="shared" si="18"/>
        <v>-2</v>
      </c>
      <c r="I66" s="94">
        <f t="shared" si="18"/>
        <v>1</v>
      </c>
      <c r="J66" s="80">
        <f t="shared" ref="J66" si="19">+J9+J11+J12+J13+J31-J51-J53-J64-J54</f>
        <v>0.21999999973922968</v>
      </c>
      <c r="K66" s="134">
        <f>MAX(C65:J65)</f>
        <v>0.46043987432162237</v>
      </c>
    </row>
    <row r="67" spans="1:11" hidden="1">
      <c r="A67" s="234"/>
      <c r="B67" s="234"/>
      <c r="C67" s="94">
        <f t="shared" ref="C67:I67" si="20">+C9+C58-C64</f>
        <v>0</v>
      </c>
      <c r="D67" s="94">
        <f t="shared" si="20"/>
        <v>-0.34999999916180968</v>
      </c>
      <c r="E67" s="94">
        <f t="shared" si="20"/>
        <v>-3</v>
      </c>
      <c r="F67" s="80">
        <f t="shared" si="20"/>
        <v>0</v>
      </c>
      <c r="G67" s="80">
        <f t="shared" si="20"/>
        <v>2</v>
      </c>
      <c r="H67" s="94">
        <f t="shared" si="20"/>
        <v>-2</v>
      </c>
      <c r="I67" s="94">
        <f t="shared" si="20"/>
        <v>1</v>
      </c>
      <c r="J67" s="94">
        <f t="shared" ref="J67" si="21">+J9+J58-J64</f>
        <v>0.21999999973922968</v>
      </c>
      <c r="K67" s="134">
        <f>MIN(C65:J65)</f>
        <v>-4.0468906620312176E-2</v>
      </c>
    </row>
    <row r="68" spans="1:11">
      <c r="A68" s="234"/>
      <c r="B68" s="234"/>
      <c r="C68" s="94"/>
      <c r="D68" s="94"/>
      <c r="E68" s="94"/>
      <c r="F68" s="80"/>
      <c r="G68" s="80"/>
      <c r="H68" s="94"/>
      <c r="I68" s="94"/>
      <c r="J68" s="94"/>
      <c r="K68" s="134"/>
    </row>
    <row r="69" spans="1:11" ht="12.75" customHeight="1">
      <c r="A69" s="213" t="s">
        <v>199</v>
      </c>
      <c r="B69" s="63"/>
      <c r="C69" s="157"/>
      <c r="D69" s="157"/>
      <c r="E69" s="94"/>
      <c r="F69" s="80"/>
      <c r="G69" s="80"/>
      <c r="H69" s="94"/>
      <c r="I69" s="94"/>
      <c r="J69" s="94"/>
      <c r="K69" s="134"/>
    </row>
    <row r="70" spans="1:11" ht="12.75" customHeight="1">
      <c r="A70" s="210" t="s">
        <v>200</v>
      </c>
      <c r="B70" s="63"/>
      <c r="C70" s="157"/>
      <c r="D70" s="157"/>
    </row>
    <row r="71" spans="1:11" ht="12.75" customHeight="1">
      <c r="A71" s="211" t="s">
        <v>89</v>
      </c>
      <c r="B71" s="63"/>
      <c r="C71" s="157"/>
      <c r="D71" s="157"/>
    </row>
    <row r="72" spans="1:11">
      <c r="A72" s="212"/>
      <c r="B72" s="63"/>
      <c r="C72" s="63"/>
      <c r="D72" s="63"/>
    </row>
    <row r="73" spans="1:11" ht="12.75" customHeight="1">
      <c r="A73" s="210" t="s">
        <v>201</v>
      </c>
      <c r="B73" s="63"/>
      <c r="C73" s="157"/>
      <c r="D73" s="157"/>
    </row>
    <row r="74" spans="1:11" ht="12.75" customHeight="1">
      <c r="A74" s="210" t="s">
        <v>90</v>
      </c>
      <c r="B74" s="63"/>
      <c r="C74" s="157"/>
      <c r="D74" s="157"/>
    </row>
    <row r="75" spans="1:11" ht="12.75" customHeight="1">
      <c r="A75" s="210" t="s">
        <v>91</v>
      </c>
      <c r="B75" s="236"/>
      <c r="C75" s="1"/>
      <c r="D75" s="1"/>
    </row>
    <row r="76" spans="1:11">
      <c r="A76" s="162"/>
      <c r="B76" s="162"/>
      <c r="C76" s="162"/>
      <c r="D76" s="162"/>
    </row>
    <row r="77" spans="1:11">
      <c r="A77" s="368"/>
      <c r="B77" s="369"/>
      <c r="C77" s="252"/>
      <c r="D77" s="252"/>
      <c r="E77" s="252"/>
      <c r="F77" s="252"/>
      <c r="G77" s="252"/>
      <c r="H77" s="252"/>
      <c r="I77" s="252"/>
      <c r="J77" s="252"/>
    </row>
    <row r="78" spans="1:11" ht="72" customHeight="1">
      <c r="A78" s="370"/>
      <c r="B78" s="371"/>
      <c r="C78" s="251" t="str">
        <f t="shared" ref="C78:I78" si="22">C2</f>
        <v>7th DAA, Monterey County Fair</v>
      </c>
      <c r="D78" s="251" t="str">
        <f t="shared" si="22"/>
        <v>17th DAA, Nevada County Fair</v>
      </c>
      <c r="E78" s="251" t="str">
        <f t="shared" si="22"/>
        <v>19th DAA,     Santa Barbara Fair</v>
      </c>
      <c r="F78" s="251" t="str">
        <f t="shared" si="22"/>
        <v>24th DAA, 
Tulare County Fair</v>
      </c>
      <c r="G78" s="251" t="str">
        <f t="shared" si="22"/>
        <v>28th DAA,       San Bernardino County Fair</v>
      </c>
      <c r="H78" s="251" t="str">
        <f t="shared" si="22"/>
        <v>35th DAA, Merced County Fair</v>
      </c>
      <c r="I78" s="251" t="str">
        <f t="shared" si="22"/>
        <v>37th DAA,     Santa Maria Fair Park</v>
      </c>
      <c r="J78" s="251" t="str">
        <f t="shared" ref="J78" si="23">J2</f>
        <v>Marin County Fair</v>
      </c>
    </row>
    <row r="79" spans="1:11" ht="13.5" customHeight="1">
      <c r="A79" s="255" t="s">
        <v>92</v>
      </c>
      <c r="B79" s="40"/>
      <c r="C79" s="65"/>
      <c r="D79" s="65"/>
      <c r="E79" s="66"/>
      <c r="F79" s="66"/>
      <c r="G79" s="65"/>
      <c r="H79" s="65"/>
      <c r="I79" s="66"/>
      <c r="J79" s="66"/>
    </row>
    <row r="80" spans="1:11" ht="13.5" customHeight="1">
      <c r="A80" s="255" t="s">
        <v>93</v>
      </c>
      <c r="B80" s="40"/>
      <c r="C80" s="65"/>
      <c r="D80" s="65"/>
      <c r="E80" s="66"/>
      <c r="F80" s="66"/>
      <c r="G80" s="65"/>
      <c r="H80" s="65"/>
      <c r="I80" s="66"/>
      <c r="J80" s="66"/>
    </row>
    <row r="81" spans="1:12" ht="13.5" customHeight="1">
      <c r="A81" s="260"/>
      <c r="B81" s="40" t="s">
        <v>94</v>
      </c>
      <c r="C81" s="41"/>
      <c r="D81" s="41"/>
      <c r="E81" s="30"/>
      <c r="F81" s="30"/>
      <c r="G81" s="41"/>
      <c r="H81" s="41"/>
      <c r="I81" s="30"/>
      <c r="J81" s="30"/>
    </row>
    <row r="82" spans="1:12" ht="13.5" customHeight="1">
      <c r="A82" s="260"/>
      <c r="B82" s="40" t="s">
        <v>95</v>
      </c>
      <c r="C82" s="24">
        <v>0</v>
      </c>
      <c r="D82" s="24">
        <v>0</v>
      </c>
      <c r="E82" s="25">
        <v>0</v>
      </c>
      <c r="F82" s="25">
        <v>0</v>
      </c>
      <c r="G82" s="24">
        <v>0</v>
      </c>
      <c r="H82" s="24">
        <v>0</v>
      </c>
      <c r="I82" s="25">
        <v>664102</v>
      </c>
      <c r="J82" s="25">
        <v>0</v>
      </c>
      <c r="L82" s="107">
        <f>SUM(C82:I82)</f>
        <v>664102</v>
      </c>
    </row>
    <row r="83" spans="1:12" ht="13.5" customHeight="1">
      <c r="A83" s="260"/>
      <c r="B83" s="40" t="s">
        <v>96</v>
      </c>
      <c r="C83" s="41">
        <v>134162</v>
      </c>
      <c r="D83" s="41">
        <v>924629.91</v>
      </c>
      <c r="E83" s="30">
        <v>339334</v>
      </c>
      <c r="F83" s="30">
        <v>1294685</v>
      </c>
      <c r="G83" s="41">
        <v>657829</v>
      </c>
      <c r="H83" s="41">
        <v>324385</v>
      </c>
      <c r="I83" s="30">
        <v>412193</v>
      </c>
      <c r="J83" s="30">
        <v>322247</v>
      </c>
      <c r="L83" s="107">
        <f t="shared" ref="L83:L92" si="24">SUM(C83:I83)</f>
        <v>4087217.91</v>
      </c>
    </row>
    <row r="84" spans="1:12" ht="13.5" customHeight="1">
      <c r="A84" s="260"/>
      <c r="B84" s="40" t="s">
        <v>97</v>
      </c>
      <c r="C84" s="41">
        <v>206286</v>
      </c>
      <c r="D84" s="41">
        <v>47899.77</v>
      </c>
      <c r="E84" s="30">
        <v>12075</v>
      </c>
      <c r="F84" s="30">
        <v>165865</v>
      </c>
      <c r="G84" s="41">
        <v>78513</v>
      </c>
      <c r="H84" s="41">
        <v>62201</v>
      </c>
      <c r="I84" s="30">
        <v>60661</v>
      </c>
      <c r="J84" s="30">
        <v>0</v>
      </c>
      <c r="L84" s="107">
        <f t="shared" si="24"/>
        <v>633500.77</v>
      </c>
    </row>
    <row r="85" spans="1:12" ht="13.5" customHeight="1">
      <c r="A85" s="260"/>
      <c r="B85" s="40" t="s">
        <v>98</v>
      </c>
      <c r="C85" s="41">
        <v>0</v>
      </c>
      <c r="D85" s="41">
        <v>14147.34</v>
      </c>
      <c r="E85" s="30">
        <v>2480</v>
      </c>
      <c r="F85" s="30">
        <v>181</v>
      </c>
      <c r="G85" s="41">
        <v>2871</v>
      </c>
      <c r="H85" s="41">
        <v>1183</v>
      </c>
      <c r="I85" s="30">
        <v>0</v>
      </c>
      <c r="J85" s="30">
        <v>0</v>
      </c>
      <c r="L85" s="107">
        <f t="shared" si="24"/>
        <v>20862.34</v>
      </c>
    </row>
    <row r="86" spans="1:12" ht="13.5" customHeight="1">
      <c r="A86" s="260"/>
      <c r="B86" s="40" t="s">
        <v>99</v>
      </c>
      <c r="C86" s="41">
        <v>0</v>
      </c>
      <c r="D86" s="41">
        <v>1808.68</v>
      </c>
      <c r="E86" s="30">
        <v>0</v>
      </c>
      <c r="F86" s="30">
        <v>0</v>
      </c>
      <c r="G86" s="41">
        <v>0</v>
      </c>
      <c r="H86" s="41">
        <v>0</v>
      </c>
      <c r="I86" s="30">
        <v>0</v>
      </c>
      <c r="J86" s="30">
        <v>0</v>
      </c>
      <c r="L86" s="107">
        <f t="shared" si="24"/>
        <v>1808.68</v>
      </c>
    </row>
    <row r="87" spans="1:12" ht="13.5" customHeight="1">
      <c r="A87" s="260"/>
      <c r="B87" s="40" t="s">
        <v>100</v>
      </c>
      <c r="C87" s="41">
        <v>37903</v>
      </c>
      <c r="D87" s="41">
        <v>13621.44</v>
      </c>
      <c r="E87" s="30">
        <v>0</v>
      </c>
      <c r="F87" s="30">
        <v>0</v>
      </c>
      <c r="G87" s="41">
        <v>0</v>
      </c>
      <c r="H87" s="41">
        <v>0</v>
      </c>
      <c r="I87" s="30">
        <v>199102</v>
      </c>
      <c r="J87" s="30">
        <v>0</v>
      </c>
      <c r="L87" s="107">
        <f t="shared" si="24"/>
        <v>250626.44</v>
      </c>
    </row>
    <row r="88" spans="1:12" ht="13.5" customHeight="1">
      <c r="A88" s="260"/>
      <c r="B88" s="40" t="s">
        <v>101</v>
      </c>
      <c r="C88" s="41">
        <v>31340</v>
      </c>
      <c r="D88" s="41">
        <v>1018036.79</v>
      </c>
      <c r="E88" s="30">
        <v>213778</v>
      </c>
      <c r="F88" s="30">
        <v>489069</v>
      </c>
      <c r="G88" s="41">
        <v>22055</v>
      </c>
      <c r="H88" s="41">
        <v>179771</v>
      </c>
      <c r="I88" s="30">
        <v>98142</v>
      </c>
      <c r="J88" s="30">
        <v>1777659</v>
      </c>
      <c r="L88" s="107">
        <f t="shared" si="24"/>
        <v>2052191.79</v>
      </c>
    </row>
    <row r="89" spans="1:12" ht="13.5" customHeight="1">
      <c r="A89" s="260"/>
      <c r="B89" s="40" t="s">
        <v>102</v>
      </c>
      <c r="C89" s="41">
        <v>5715944</v>
      </c>
      <c r="D89" s="41">
        <v>6507660.46</v>
      </c>
      <c r="E89" s="30">
        <v>7504668</v>
      </c>
      <c r="F89" s="30">
        <v>3775287</v>
      </c>
      <c r="G89" s="41">
        <v>3584727</v>
      </c>
      <c r="H89" s="41">
        <v>5422188</v>
      </c>
      <c r="I89" s="30">
        <v>6539735</v>
      </c>
      <c r="J89" s="30">
        <v>3715756</v>
      </c>
      <c r="L89" s="107">
        <f t="shared" si="24"/>
        <v>39050209.460000001</v>
      </c>
    </row>
    <row r="90" spans="1:12" ht="13.5" customHeight="1">
      <c r="A90" s="260"/>
      <c r="B90" s="40" t="s">
        <v>103</v>
      </c>
      <c r="C90" s="41">
        <v>257441</v>
      </c>
      <c r="D90" s="41">
        <v>285013.26</v>
      </c>
      <c r="E90" s="30">
        <v>217073</v>
      </c>
      <c r="F90" s="30">
        <v>254550</v>
      </c>
      <c r="G90" s="41">
        <v>257676</v>
      </c>
      <c r="H90" s="41">
        <v>270866</v>
      </c>
      <c r="I90" s="30">
        <v>544161</v>
      </c>
      <c r="J90" s="283">
        <v>58842</v>
      </c>
      <c r="L90" s="107">
        <f t="shared" si="24"/>
        <v>2086780.26</v>
      </c>
    </row>
    <row r="91" spans="1:12" ht="13.5" customHeight="1">
      <c r="A91" s="260"/>
      <c r="B91" s="40" t="s">
        <v>104</v>
      </c>
      <c r="C91" s="41">
        <v>0</v>
      </c>
      <c r="D91" s="41">
        <v>0</v>
      </c>
      <c r="E91" s="30">
        <v>1767878</v>
      </c>
      <c r="F91" s="30">
        <v>0</v>
      </c>
      <c r="G91" s="41">
        <v>1397303</v>
      </c>
      <c r="H91" s="41">
        <v>0</v>
      </c>
      <c r="I91" s="30">
        <v>1393941</v>
      </c>
      <c r="J91" s="30">
        <v>0</v>
      </c>
      <c r="L91" s="107">
        <f t="shared" si="24"/>
        <v>4559122</v>
      </c>
    </row>
    <row r="92" spans="1:12" ht="13.5" customHeight="1">
      <c r="A92" s="260"/>
      <c r="B92" s="40" t="s">
        <v>186</v>
      </c>
      <c r="C92" s="41">
        <v>0</v>
      </c>
      <c r="D92" s="41">
        <v>0</v>
      </c>
      <c r="E92" s="30">
        <v>0</v>
      </c>
      <c r="F92" s="30">
        <v>0</v>
      </c>
      <c r="G92" s="41">
        <v>0</v>
      </c>
      <c r="H92" s="41">
        <v>0</v>
      </c>
      <c r="I92" s="30">
        <v>0</v>
      </c>
      <c r="J92" s="30">
        <v>0</v>
      </c>
      <c r="L92" s="107">
        <f t="shared" si="24"/>
        <v>0</v>
      </c>
    </row>
    <row r="93" spans="1:12" ht="13.5" customHeight="1">
      <c r="A93" s="260"/>
      <c r="B93" s="40" t="s">
        <v>105</v>
      </c>
      <c r="C93" s="41">
        <f>-3689289-246799</f>
        <v>-3936088</v>
      </c>
      <c r="D93" s="41">
        <f>-3864780.07-206062.04</f>
        <v>-4070842.11</v>
      </c>
      <c r="E93" s="30">
        <f>-5999999-197516-825010</f>
        <v>-7022525</v>
      </c>
      <c r="F93" s="30">
        <f>-2694831-207006</f>
        <v>-2901837</v>
      </c>
      <c r="G93" s="41">
        <f>-2490626-253236-652075</f>
        <v>-3395937</v>
      </c>
      <c r="H93" s="41">
        <f>-3552472-187148</f>
        <v>-3739620</v>
      </c>
      <c r="I93" s="30">
        <f>-3390241-512516-464647</f>
        <v>-4367404</v>
      </c>
      <c r="J93" s="30">
        <f>-3015181-73745-58842</f>
        <v>-3147768</v>
      </c>
      <c r="L93" s="107">
        <f>SUM(C87:I93)</f>
        <v>18564676.839999996</v>
      </c>
    </row>
    <row r="94" spans="1:12" ht="13.5" customHeight="1">
      <c r="A94" s="260"/>
      <c r="B94" s="40" t="s">
        <v>166</v>
      </c>
      <c r="C94" s="41">
        <v>0</v>
      </c>
      <c r="D94" s="41">
        <v>0</v>
      </c>
      <c r="E94" s="30">
        <v>0</v>
      </c>
      <c r="F94" s="30">
        <v>0</v>
      </c>
      <c r="G94" s="41">
        <v>0</v>
      </c>
      <c r="H94" s="41">
        <v>1</v>
      </c>
      <c r="I94" s="30">
        <v>0</v>
      </c>
      <c r="J94" s="30">
        <v>0</v>
      </c>
      <c r="L94" s="107"/>
    </row>
    <row r="95" spans="1:12" ht="13.5" customHeight="1">
      <c r="A95" s="268" t="s">
        <v>107</v>
      </c>
      <c r="B95" s="34"/>
      <c r="C95" s="35">
        <f>SUM(C81:C94)</f>
        <v>2446988</v>
      </c>
      <c r="D95" s="35">
        <f t="shared" ref="D95:I95" si="25">SUM(D81:D94)</f>
        <v>4741975.540000001</v>
      </c>
      <c r="E95" s="35">
        <f t="shared" si="25"/>
        <v>3034761</v>
      </c>
      <c r="F95" s="35">
        <f t="shared" si="25"/>
        <v>3077800</v>
      </c>
      <c r="G95" s="35">
        <f t="shared" si="25"/>
        <v>2605037</v>
      </c>
      <c r="H95" s="35">
        <f t="shared" si="25"/>
        <v>2520975</v>
      </c>
      <c r="I95" s="35">
        <f t="shared" si="25"/>
        <v>5544633</v>
      </c>
      <c r="J95" s="35">
        <f t="shared" ref="J95" si="26">SUM(J81:J94)</f>
        <v>2726736</v>
      </c>
      <c r="L95" s="91">
        <f>SUM(C95:I95)</f>
        <v>23972169.539999999</v>
      </c>
    </row>
    <row r="96" spans="1:12" ht="13.5" customHeight="1">
      <c r="A96" s="268" t="s">
        <v>215</v>
      </c>
      <c r="B96" s="34"/>
      <c r="C96" s="35">
        <v>75410</v>
      </c>
      <c r="D96" s="35">
        <v>193483.31</v>
      </c>
      <c r="E96" s="35">
        <v>185774</v>
      </c>
      <c r="F96" s="35">
        <v>46594</v>
      </c>
      <c r="G96" s="35">
        <v>130742</v>
      </c>
      <c r="H96" s="35">
        <v>19409</v>
      </c>
      <c r="I96" s="35">
        <v>187664</v>
      </c>
      <c r="J96" s="35">
        <v>0</v>
      </c>
      <c r="L96" s="91">
        <f>SUM(C96:I96)</f>
        <v>839076.31</v>
      </c>
    </row>
    <row r="97" spans="1:12" s="33" customFormat="1" ht="13.5" customHeight="1">
      <c r="A97" s="263" t="s">
        <v>212</v>
      </c>
      <c r="B97" s="224"/>
      <c r="C97" s="225">
        <f>+C95+C96</f>
        <v>2522398</v>
      </c>
      <c r="D97" s="225">
        <f t="shared" ref="D97:I97" si="27">+D95+D96</f>
        <v>4935458.8500000006</v>
      </c>
      <c r="E97" s="225">
        <f t="shared" si="27"/>
        <v>3220535</v>
      </c>
      <c r="F97" s="225">
        <f t="shared" si="27"/>
        <v>3124394</v>
      </c>
      <c r="G97" s="225">
        <f t="shared" si="27"/>
        <v>2735779</v>
      </c>
      <c r="H97" s="225">
        <f t="shared" si="27"/>
        <v>2540384</v>
      </c>
      <c r="I97" s="225">
        <f t="shared" si="27"/>
        <v>5732297</v>
      </c>
      <c r="J97" s="225">
        <f t="shared" ref="J97" si="28">+J95+J96</f>
        <v>2726736</v>
      </c>
      <c r="L97" s="91">
        <f>SUM(C97:I97)</f>
        <v>24811245.850000001</v>
      </c>
    </row>
    <row r="98" spans="1:12" ht="13.5" customHeight="1">
      <c r="A98" s="255" t="s">
        <v>213</v>
      </c>
      <c r="B98" s="40"/>
      <c r="C98" s="64"/>
      <c r="D98" s="65"/>
      <c r="E98" s="66"/>
      <c r="F98" s="66"/>
      <c r="G98" s="65"/>
      <c r="H98" s="65"/>
      <c r="I98" s="66"/>
      <c r="J98" s="66"/>
      <c r="L98" s="107"/>
    </row>
    <row r="99" spans="1:12" ht="13.5" customHeight="1">
      <c r="A99" s="260"/>
      <c r="B99" s="40" t="s">
        <v>108</v>
      </c>
      <c r="C99" s="41">
        <v>0</v>
      </c>
      <c r="D99" s="41">
        <v>0</v>
      </c>
      <c r="E99" s="30">
        <v>0</v>
      </c>
      <c r="F99" s="30">
        <v>538</v>
      </c>
      <c r="G99" s="41">
        <v>0</v>
      </c>
      <c r="H99" s="41">
        <v>745</v>
      </c>
      <c r="I99" s="30">
        <v>529</v>
      </c>
      <c r="J99" s="30">
        <v>0</v>
      </c>
      <c r="L99" s="107">
        <f>SUM(C99:I99)</f>
        <v>1812</v>
      </c>
    </row>
    <row r="100" spans="1:12" ht="13.5" customHeight="1">
      <c r="A100" s="260"/>
      <c r="B100" s="40" t="s">
        <v>109</v>
      </c>
      <c r="C100" s="41">
        <v>151836</v>
      </c>
      <c r="D100" s="41">
        <v>37347.83</v>
      </c>
      <c r="E100" s="30">
        <v>73808</v>
      </c>
      <c r="F100" s="30">
        <v>142590</v>
      </c>
      <c r="G100" s="41">
        <v>139123</v>
      </c>
      <c r="H100" s="41">
        <v>49562</v>
      </c>
      <c r="I100" s="30">
        <v>52248</v>
      </c>
      <c r="J100" s="30">
        <v>2271.2199999999998</v>
      </c>
      <c r="L100" s="107">
        <f>SUM(C100:I100)</f>
        <v>646514.83000000007</v>
      </c>
    </row>
    <row r="101" spans="1:12" ht="13.5" customHeight="1">
      <c r="A101" s="260"/>
      <c r="B101" s="40" t="s">
        <v>110</v>
      </c>
      <c r="C101" s="41">
        <v>4059</v>
      </c>
      <c r="D101" s="41">
        <v>148824.94</v>
      </c>
      <c r="E101" s="41">
        <v>15011</v>
      </c>
      <c r="F101" s="30">
        <v>10066</v>
      </c>
      <c r="G101" s="41">
        <v>29304</v>
      </c>
      <c r="H101" s="41">
        <v>24433</v>
      </c>
      <c r="I101" s="30">
        <v>5576</v>
      </c>
      <c r="J101" s="30">
        <v>0</v>
      </c>
      <c r="L101" s="107">
        <f t="shared" ref="L101:L107" si="29">SUM(C101:I101)</f>
        <v>237273.94</v>
      </c>
    </row>
    <row r="102" spans="1:12" ht="13.5" customHeight="1">
      <c r="A102" s="260"/>
      <c r="B102" s="40" t="s">
        <v>111</v>
      </c>
      <c r="C102" s="41">
        <v>-1163</v>
      </c>
      <c r="D102" s="41">
        <v>10655</v>
      </c>
      <c r="E102" s="30">
        <v>0</v>
      </c>
      <c r="F102" s="30">
        <v>33498</v>
      </c>
      <c r="G102" s="41">
        <v>33981</v>
      </c>
      <c r="H102" s="41">
        <v>90560</v>
      </c>
      <c r="I102" s="30">
        <v>10000</v>
      </c>
      <c r="J102" s="30">
        <v>0</v>
      </c>
      <c r="L102" s="107">
        <f t="shared" si="29"/>
        <v>177531</v>
      </c>
    </row>
    <row r="103" spans="1:12" ht="13.5" customHeight="1">
      <c r="A103" s="260"/>
      <c r="B103" s="40" t="s">
        <v>112</v>
      </c>
      <c r="C103" s="41">
        <v>19076</v>
      </c>
      <c r="D103" s="41">
        <v>37778.269999999997</v>
      </c>
      <c r="E103" s="30">
        <v>129333</v>
      </c>
      <c r="F103" s="30">
        <v>0</v>
      </c>
      <c r="G103" s="41">
        <v>12487</v>
      </c>
      <c r="H103" s="41">
        <v>1340</v>
      </c>
      <c r="I103" s="30">
        <v>0</v>
      </c>
      <c r="J103" s="30">
        <v>0</v>
      </c>
      <c r="L103" s="107">
        <f t="shared" si="29"/>
        <v>200014.27</v>
      </c>
    </row>
    <row r="104" spans="1:12" ht="13.5" customHeight="1">
      <c r="A104" s="260"/>
      <c r="B104" s="40" t="s">
        <v>113</v>
      </c>
      <c r="C104" s="41">
        <v>68261</v>
      </c>
      <c r="D104" s="41">
        <v>7390</v>
      </c>
      <c r="E104" s="30">
        <v>10000</v>
      </c>
      <c r="F104" s="30">
        <v>46120</v>
      </c>
      <c r="G104" s="41">
        <v>33834</v>
      </c>
      <c r="H104" s="41">
        <v>0</v>
      </c>
      <c r="I104" s="30">
        <v>32258</v>
      </c>
      <c r="J104" s="30">
        <v>0</v>
      </c>
      <c r="L104" s="107">
        <f t="shared" si="29"/>
        <v>197863</v>
      </c>
    </row>
    <row r="105" spans="1:12" ht="13.5" customHeight="1">
      <c r="A105" s="260"/>
      <c r="B105" s="40" t="s">
        <v>114</v>
      </c>
      <c r="C105" s="41">
        <v>71272</v>
      </c>
      <c r="D105" s="41">
        <v>177494</v>
      </c>
      <c r="E105" s="30">
        <v>208057</v>
      </c>
      <c r="F105" s="30">
        <v>49283</v>
      </c>
      <c r="G105" s="41">
        <v>60939</v>
      </c>
      <c r="H105" s="41">
        <v>37187</v>
      </c>
      <c r="I105" s="30">
        <v>90129</v>
      </c>
      <c r="J105" s="30">
        <v>0</v>
      </c>
      <c r="L105" s="107">
        <f t="shared" si="29"/>
        <v>694361</v>
      </c>
    </row>
    <row r="106" spans="1:12" ht="13.5" customHeight="1">
      <c r="A106" s="260"/>
      <c r="B106" s="40" t="s">
        <v>115</v>
      </c>
      <c r="C106" s="41">
        <v>39975</v>
      </c>
      <c r="D106" s="41">
        <v>287070.34999999998</v>
      </c>
      <c r="E106" s="30">
        <v>537424</v>
      </c>
      <c r="F106" s="30">
        <v>51567</v>
      </c>
      <c r="G106" s="41">
        <v>24971</v>
      </c>
      <c r="H106" s="41">
        <v>0</v>
      </c>
      <c r="I106" s="30">
        <v>244477</v>
      </c>
      <c r="J106" s="30">
        <v>0</v>
      </c>
      <c r="L106" s="107">
        <f t="shared" si="29"/>
        <v>1185484.3500000001</v>
      </c>
    </row>
    <row r="107" spans="1:12" ht="13.5" customHeight="1">
      <c r="A107" s="260"/>
      <c r="B107" s="40" t="s">
        <v>218</v>
      </c>
      <c r="C107" s="29">
        <v>1275061</v>
      </c>
      <c r="D107" s="41">
        <v>1174945</v>
      </c>
      <c r="E107" s="30">
        <v>1451327</v>
      </c>
      <c r="F107" s="30">
        <v>753730</v>
      </c>
      <c r="G107" s="41">
        <v>1194121</v>
      </c>
      <c r="H107" s="41">
        <v>770915</v>
      </c>
      <c r="I107" s="30">
        <v>1335497</v>
      </c>
      <c r="J107" s="30">
        <v>0</v>
      </c>
      <c r="L107" s="107">
        <f t="shared" si="29"/>
        <v>7955596</v>
      </c>
    </row>
    <row r="108" spans="1:12" ht="13.5" customHeight="1">
      <c r="A108" s="268" t="s">
        <v>217</v>
      </c>
      <c r="B108" s="34"/>
      <c r="C108" s="35">
        <f>SUM(C99:C107)</f>
        <v>1628377</v>
      </c>
      <c r="D108" s="35">
        <f t="shared" ref="D108:I108" si="30">SUM(D99:D107)</f>
        <v>1881505.3900000001</v>
      </c>
      <c r="E108" s="35">
        <f t="shared" si="30"/>
        <v>2424960</v>
      </c>
      <c r="F108" s="35">
        <f t="shared" si="30"/>
        <v>1087392</v>
      </c>
      <c r="G108" s="35">
        <f t="shared" si="30"/>
        <v>1528760</v>
      </c>
      <c r="H108" s="35">
        <f t="shared" si="30"/>
        <v>974742</v>
      </c>
      <c r="I108" s="35">
        <f t="shared" si="30"/>
        <v>1770714</v>
      </c>
      <c r="J108" s="35">
        <f t="shared" ref="J108" si="31">SUM(J99:J107)</f>
        <v>2271.2199999999998</v>
      </c>
      <c r="L108" s="91">
        <f t="shared" ref="L108:L119" si="32">SUM(C108:I108)</f>
        <v>11296450.390000001</v>
      </c>
    </row>
    <row r="109" spans="1:12" ht="13.5" customHeight="1">
      <c r="A109" s="268" t="s">
        <v>216</v>
      </c>
      <c r="B109" s="34"/>
      <c r="C109" s="35">
        <v>73832</v>
      </c>
      <c r="D109" s="35">
        <v>30023</v>
      </c>
      <c r="E109" s="35">
        <v>64458</v>
      </c>
      <c r="F109" s="35">
        <v>89973</v>
      </c>
      <c r="G109" s="35">
        <v>40412</v>
      </c>
      <c r="H109" s="35">
        <v>-638</v>
      </c>
      <c r="I109" s="35">
        <v>55238</v>
      </c>
      <c r="J109" s="35">
        <v>0</v>
      </c>
      <c r="L109" s="91">
        <f t="shared" si="32"/>
        <v>353298</v>
      </c>
    </row>
    <row r="110" spans="1:12" s="33" customFormat="1" ht="13.5" customHeight="1">
      <c r="A110" s="263" t="s">
        <v>214</v>
      </c>
      <c r="B110" s="224"/>
      <c r="C110" s="225">
        <f>+C108+C109</f>
        <v>1702209</v>
      </c>
      <c r="D110" s="225">
        <f t="shared" ref="D110:I110" si="33">+D108+D109</f>
        <v>1911528.3900000001</v>
      </c>
      <c r="E110" s="225">
        <f t="shared" si="33"/>
        <v>2489418</v>
      </c>
      <c r="F110" s="225">
        <f t="shared" si="33"/>
        <v>1177365</v>
      </c>
      <c r="G110" s="225">
        <f t="shared" si="33"/>
        <v>1569172</v>
      </c>
      <c r="H110" s="225">
        <f t="shared" si="33"/>
        <v>974104</v>
      </c>
      <c r="I110" s="225">
        <f t="shared" si="33"/>
        <v>1825952</v>
      </c>
      <c r="J110" s="225">
        <f t="shared" ref="J110" si="34">+J108+J109</f>
        <v>2271.2199999999998</v>
      </c>
      <c r="L110" s="91">
        <f t="shared" si="32"/>
        <v>11649748.390000001</v>
      </c>
    </row>
    <row r="111" spans="1:12" ht="13.5" customHeight="1">
      <c r="A111" s="255" t="s">
        <v>116</v>
      </c>
      <c r="B111" s="40"/>
      <c r="C111" s="65"/>
      <c r="D111" s="65"/>
      <c r="E111" s="66"/>
      <c r="F111" s="66"/>
      <c r="G111" s="65"/>
      <c r="H111" s="65"/>
      <c r="I111" s="66"/>
      <c r="J111" s="66"/>
      <c r="L111" s="107">
        <f t="shared" si="32"/>
        <v>0</v>
      </c>
    </row>
    <row r="112" spans="1:12" ht="13.5" customHeight="1">
      <c r="A112" s="260"/>
      <c r="B112" s="40" t="s">
        <v>117</v>
      </c>
      <c r="C112" s="41">
        <v>6629</v>
      </c>
      <c r="D112" s="41">
        <v>0</v>
      </c>
      <c r="E112" s="30">
        <v>0</v>
      </c>
      <c r="F112" s="30">
        <v>213065</v>
      </c>
      <c r="G112" s="41">
        <v>6752</v>
      </c>
      <c r="H112" s="41">
        <v>174378</v>
      </c>
      <c r="I112" s="30">
        <v>480050</v>
      </c>
      <c r="J112" s="30">
        <v>0</v>
      </c>
      <c r="L112" s="107">
        <f t="shared" si="32"/>
        <v>880874</v>
      </c>
    </row>
    <row r="113" spans="1:12" ht="13.5" customHeight="1">
      <c r="A113" s="260"/>
      <c r="B113" s="40" t="s">
        <v>42</v>
      </c>
      <c r="C113" s="41">
        <f>C60</f>
        <v>-19497</v>
      </c>
      <c r="D113" s="41">
        <f t="shared" ref="D113:I113" si="35">D60</f>
        <v>568995.51</v>
      </c>
      <c r="E113" s="41">
        <f t="shared" si="35"/>
        <v>-82321</v>
      </c>
      <c r="F113" s="41">
        <f t="shared" si="35"/>
        <v>914004</v>
      </c>
      <c r="G113" s="41">
        <f t="shared" si="35"/>
        <v>422794</v>
      </c>
      <c r="H113" s="41">
        <f t="shared" si="35"/>
        <v>9564</v>
      </c>
      <c r="I113" s="41">
        <f t="shared" si="35"/>
        <v>466166</v>
      </c>
      <c r="J113" s="29">
        <f t="shared" ref="J113" si="36">J60</f>
        <v>319975.78000000003</v>
      </c>
      <c r="L113" s="107">
        <f t="shared" si="32"/>
        <v>2279705.5099999998</v>
      </c>
    </row>
    <row r="114" spans="1:12" ht="13.5" customHeight="1">
      <c r="A114" s="260"/>
      <c r="B114" s="40" t="s">
        <v>220</v>
      </c>
      <c r="C114" s="41">
        <f t="shared" ref="C114:I116" si="37">C61</f>
        <v>-1273483</v>
      </c>
      <c r="D114" s="41">
        <f t="shared" si="37"/>
        <v>-1011484.69</v>
      </c>
      <c r="E114" s="41">
        <f t="shared" si="37"/>
        <v>-1330010</v>
      </c>
      <c r="F114" s="41">
        <f t="shared" si="37"/>
        <v>-797109</v>
      </c>
      <c r="G114" s="41">
        <f t="shared" si="37"/>
        <v>-1103791</v>
      </c>
      <c r="H114" s="41">
        <f t="shared" si="37"/>
        <v>-750868</v>
      </c>
      <c r="I114" s="41">
        <f t="shared" si="37"/>
        <v>-1203071</v>
      </c>
      <c r="J114" s="29">
        <f t="shared" ref="J114" si="38">J61</f>
        <v>0</v>
      </c>
      <c r="L114" s="107">
        <f t="shared" si="32"/>
        <v>-7469816.6899999995</v>
      </c>
    </row>
    <row r="115" spans="1:12" ht="13.5" customHeight="1">
      <c r="A115" s="260"/>
      <c r="B115" s="40" t="s">
        <v>43</v>
      </c>
      <c r="C115" s="41">
        <f t="shared" si="37"/>
        <v>0</v>
      </c>
      <c r="D115" s="41">
        <f t="shared" si="37"/>
        <v>0</v>
      </c>
      <c r="E115" s="41">
        <f t="shared" si="37"/>
        <v>0</v>
      </c>
      <c r="F115" s="41">
        <f t="shared" si="37"/>
        <v>0</v>
      </c>
      <c r="G115" s="41">
        <f t="shared" si="37"/>
        <v>0</v>
      </c>
      <c r="H115" s="41">
        <f t="shared" si="37"/>
        <v>0</v>
      </c>
      <c r="I115" s="41">
        <f t="shared" si="37"/>
        <v>0</v>
      </c>
      <c r="J115" s="29">
        <f t="shared" ref="J115" si="39">J62</f>
        <v>0</v>
      </c>
      <c r="L115" s="107">
        <f t="shared" si="32"/>
        <v>0</v>
      </c>
    </row>
    <row r="116" spans="1:12" ht="13.5" customHeight="1">
      <c r="A116" s="260"/>
      <c r="B116" s="40" t="s">
        <v>118</v>
      </c>
      <c r="C116" s="41">
        <f t="shared" si="37"/>
        <v>2106541</v>
      </c>
      <c r="D116" s="41">
        <f t="shared" si="37"/>
        <v>3466419.4899999998</v>
      </c>
      <c r="E116" s="41">
        <f t="shared" si="37"/>
        <v>2143450</v>
      </c>
      <c r="F116" s="41">
        <f t="shared" si="37"/>
        <v>1617069</v>
      </c>
      <c r="G116" s="41">
        <f t="shared" si="37"/>
        <v>1840855</v>
      </c>
      <c r="H116" s="41">
        <f t="shared" si="37"/>
        <v>2133206</v>
      </c>
      <c r="I116" s="41">
        <f t="shared" si="37"/>
        <v>4163200</v>
      </c>
      <c r="J116" s="29">
        <f t="shared" ref="J116" si="40">J63</f>
        <v>2404489</v>
      </c>
      <c r="L116" s="107">
        <f t="shared" si="32"/>
        <v>17470740.490000002</v>
      </c>
    </row>
    <row r="117" spans="1:12" ht="13.5" customHeight="1">
      <c r="A117" s="269"/>
      <c r="B117" s="71" t="s">
        <v>166</v>
      </c>
      <c r="C117" s="73"/>
      <c r="D117" s="73"/>
      <c r="E117" s="74"/>
      <c r="F117" s="74"/>
      <c r="G117" s="73"/>
      <c r="H117" s="73"/>
      <c r="I117" s="74"/>
      <c r="J117" s="74"/>
      <c r="L117" s="107">
        <f t="shared" si="32"/>
        <v>0</v>
      </c>
    </row>
    <row r="118" spans="1:12" s="33" customFormat="1" ht="13.5" customHeight="1">
      <c r="A118" s="268" t="s">
        <v>46</v>
      </c>
      <c r="B118" s="75"/>
      <c r="C118" s="76">
        <f>SUM(C112:C117)</f>
        <v>820190</v>
      </c>
      <c r="D118" s="76">
        <f t="shared" ref="D118:I118" si="41">SUM(D112:D117)</f>
        <v>3023930.3099999996</v>
      </c>
      <c r="E118" s="76">
        <f t="shared" si="41"/>
        <v>731119</v>
      </c>
      <c r="F118" s="76">
        <f t="shared" si="41"/>
        <v>1947029</v>
      </c>
      <c r="G118" s="76">
        <f t="shared" si="41"/>
        <v>1166610</v>
      </c>
      <c r="H118" s="76">
        <f t="shared" si="41"/>
        <v>1566280</v>
      </c>
      <c r="I118" s="76">
        <f t="shared" si="41"/>
        <v>3906345</v>
      </c>
      <c r="J118" s="76">
        <f t="shared" ref="J118" si="42">SUM(J112:J117)</f>
        <v>2724464.7800000003</v>
      </c>
      <c r="L118" s="91">
        <f t="shared" si="32"/>
        <v>13161503.309999999</v>
      </c>
    </row>
    <row r="119" spans="1:12" s="33" customFormat="1">
      <c r="A119" s="263" t="s">
        <v>219</v>
      </c>
      <c r="B119" s="224"/>
      <c r="C119" s="225">
        <f>SUM(C110:C117)</f>
        <v>2522399</v>
      </c>
      <c r="D119" s="225">
        <f t="shared" ref="D119:I119" si="43">SUM(D110:D117)</f>
        <v>4935458.7</v>
      </c>
      <c r="E119" s="225">
        <f t="shared" si="43"/>
        <v>3220537</v>
      </c>
      <c r="F119" s="225">
        <f t="shared" si="43"/>
        <v>3124394</v>
      </c>
      <c r="G119" s="225">
        <f t="shared" si="43"/>
        <v>2735782</v>
      </c>
      <c r="H119" s="225">
        <f t="shared" si="43"/>
        <v>2540384</v>
      </c>
      <c r="I119" s="225">
        <f t="shared" si="43"/>
        <v>5732297</v>
      </c>
      <c r="J119" s="225">
        <f t="shared" ref="J119" si="44">SUM(J110:J117)</f>
        <v>2726736</v>
      </c>
      <c r="L119" s="91">
        <f t="shared" si="32"/>
        <v>24811251.699999999</v>
      </c>
    </row>
    <row r="120" spans="1:12" hidden="1">
      <c r="B120" s="20" t="s">
        <v>88</v>
      </c>
      <c r="C120" s="122">
        <f t="shared" ref="C120:I120" si="45">+C97-C119</f>
        <v>-1</v>
      </c>
      <c r="D120" s="122">
        <f t="shared" si="45"/>
        <v>0.15000000037252903</v>
      </c>
      <c r="E120" s="122">
        <f t="shared" si="45"/>
        <v>-2</v>
      </c>
      <c r="F120" s="122">
        <f t="shared" si="45"/>
        <v>0</v>
      </c>
      <c r="G120" s="122">
        <f t="shared" si="45"/>
        <v>-3</v>
      </c>
      <c r="H120" s="122">
        <f t="shared" si="45"/>
        <v>0</v>
      </c>
      <c r="I120" s="122">
        <f t="shared" si="45"/>
        <v>0</v>
      </c>
      <c r="J120" s="247">
        <f t="shared" ref="J120" si="46">+J97-J119</f>
        <v>0</v>
      </c>
    </row>
    <row r="121" spans="1:12">
      <c r="C121" s="122">
        <f>+C110+C118-C119</f>
        <v>0</v>
      </c>
      <c r="D121" s="122"/>
      <c r="E121" s="122"/>
      <c r="F121" s="122"/>
      <c r="G121" s="122"/>
      <c r="H121" s="122"/>
      <c r="I121" s="122"/>
      <c r="J121" s="102"/>
    </row>
    <row r="122" spans="1:12" ht="27.75" customHeight="1">
      <c r="A122" s="360" t="s">
        <v>119</v>
      </c>
      <c r="B122" s="361"/>
      <c r="C122" s="354">
        <f t="shared" ref="C122:I122" si="47">C55/(C31)</f>
        <v>3.5992247164480635E-2</v>
      </c>
      <c r="D122" s="354">
        <f t="shared" si="47"/>
        <v>1.8079722818426614E-2</v>
      </c>
      <c r="E122" s="354">
        <f t="shared" si="47"/>
        <v>8.7635362545569362E-2</v>
      </c>
      <c r="F122" s="354">
        <f t="shared" si="47"/>
        <v>0.12654389705798233</v>
      </c>
      <c r="G122" s="354">
        <f t="shared" si="47"/>
        <v>0.1661107224961797</v>
      </c>
      <c r="H122" s="354">
        <f t="shared" si="47"/>
        <v>9.3643003488057638E-2</v>
      </c>
      <c r="I122" s="354">
        <f t="shared" si="47"/>
        <v>5.6350390590713596E-2</v>
      </c>
      <c r="J122" s="354">
        <f t="shared" ref="J122" si="48">J55/(J31)</f>
        <v>5.1756604165624713E-2</v>
      </c>
    </row>
    <row r="123" spans="1:12" ht="24">
      <c r="A123" s="257"/>
      <c r="B123" s="299" t="s">
        <v>120</v>
      </c>
      <c r="C123" s="354"/>
      <c r="D123" s="354"/>
      <c r="E123" s="354"/>
      <c r="F123" s="354"/>
      <c r="G123" s="354"/>
      <c r="H123" s="354"/>
      <c r="I123" s="354"/>
      <c r="J123" s="354"/>
    </row>
    <row r="124" spans="1:12" ht="14.25">
      <c r="A124" s="300" t="s">
        <v>194</v>
      </c>
      <c r="B124" s="301"/>
      <c r="C124" s="351">
        <f t="shared" ref="C124:I124" si="49">(SUM(C83:C84))/SUM(C99:C104)</f>
        <v>1.4064089164659663</v>
      </c>
      <c r="D124" s="351">
        <f t="shared" si="49"/>
        <v>4.0187834478613782</v>
      </c>
      <c r="E124" s="351">
        <f t="shared" si="49"/>
        <v>1.5402407167151724</v>
      </c>
      <c r="F124" s="351">
        <f t="shared" si="49"/>
        <v>6.2735168290294316</v>
      </c>
      <c r="G124" s="351">
        <f t="shared" si="49"/>
        <v>2.9604187690217065</v>
      </c>
      <c r="H124" s="351">
        <f t="shared" si="49"/>
        <v>2.3198871819491118</v>
      </c>
      <c r="I124" s="351">
        <f t="shared" si="49"/>
        <v>4.699824074902347</v>
      </c>
      <c r="J124" s="351">
        <f t="shared" ref="J124" si="50">(SUM(J83:J84))/SUM(J99:J104)</f>
        <v>141.88277665747924</v>
      </c>
    </row>
    <row r="125" spans="1:12" ht="36">
      <c r="A125" s="302"/>
      <c r="B125" s="303" t="s">
        <v>195</v>
      </c>
      <c r="C125" s="352"/>
      <c r="D125" s="352"/>
      <c r="E125" s="352"/>
      <c r="F125" s="352"/>
      <c r="G125" s="352"/>
      <c r="H125" s="352"/>
      <c r="I125" s="352"/>
      <c r="J125" s="352"/>
    </row>
    <row r="126" spans="1:12" ht="14.25">
      <c r="A126" s="300" t="s">
        <v>196</v>
      </c>
      <c r="B126" s="301"/>
      <c r="C126" s="351">
        <f t="shared" ref="C126:I126" si="51">(SUM(C83:C84))/SUM(C99:C105)</f>
        <v>1.0865095854037614</v>
      </c>
      <c r="D126" s="351">
        <f t="shared" si="51"/>
        <v>2.3183617899485767</v>
      </c>
      <c r="E126" s="351">
        <f t="shared" si="51"/>
        <v>0.80559777537831634</v>
      </c>
      <c r="F126" s="351">
        <f t="shared" si="51"/>
        <v>5.1775111221397045</v>
      </c>
      <c r="G126" s="351">
        <f t="shared" si="51"/>
        <v>2.3778433677357684</v>
      </c>
      <c r="H126" s="351">
        <f t="shared" si="51"/>
        <v>1.896637835026763</v>
      </c>
      <c r="I126" s="351">
        <f t="shared" si="51"/>
        <v>2.4790500157282165</v>
      </c>
      <c r="J126" s="351">
        <f t="shared" ref="J126" si="52">(SUM(J83:J84))/SUM(J99:J105)</f>
        <v>141.88277665747924</v>
      </c>
    </row>
    <row r="127" spans="1:12" ht="24">
      <c r="A127" s="302"/>
      <c r="B127" s="303" t="s">
        <v>197</v>
      </c>
      <c r="C127" s="352"/>
      <c r="D127" s="352"/>
      <c r="E127" s="352"/>
      <c r="F127" s="352"/>
      <c r="G127" s="352"/>
      <c r="H127" s="352"/>
      <c r="I127" s="352"/>
      <c r="J127" s="352"/>
    </row>
    <row r="128" spans="1:12" s="173" customFormat="1" ht="8.1" customHeight="1">
      <c r="A128" s="174"/>
      <c r="B128" s="175"/>
      <c r="C128" s="176"/>
      <c r="D128" s="176"/>
      <c r="E128" s="176"/>
      <c r="F128" s="176"/>
      <c r="G128" s="176"/>
      <c r="H128" s="176"/>
      <c r="I128" s="176"/>
      <c r="J128" s="177"/>
      <c r="K128" s="187"/>
    </row>
    <row r="129" spans="1:11">
      <c r="A129" s="304" t="s">
        <v>121</v>
      </c>
      <c r="B129" s="75"/>
      <c r="C129" s="353">
        <f t="shared" ref="C129:I129" si="53">C110/C97</f>
        <v>0.67483759501870844</v>
      </c>
      <c r="D129" s="353">
        <f t="shared" si="53"/>
        <v>0.38730510132811663</v>
      </c>
      <c r="E129" s="353">
        <f t="shared" si="53"/>
        <v>0.77298274976052117</v>
      </c>
      <c r="F129" s="353">
        <f t="shared" si="53"/>
        <v>0.37682987484933078</v>
      </c>
      <c r="G129" s="353">
        <f t="shared" si="53"/>
        <v>0.57357410814250709</v>
      </c>
      <c r="H129" s="353">
        <f t="shared" si="53"/>
        <v>0.3834475417889579</v>
      </c>
      <c r="I129" s="353">
        <f t="shared" si="53"/>
        <v>0.31853757751909922</v>
      </c>
      <c r="J129" s="353">
        <f t="shared" ref="J129" si="54">J110/J97</f>
        <v>8.3294459016201047E-4</v>
      </c>
    </row>
    <row r="130" spans="1:11" ht="25.5">
      <c r="A130" s="257"/>
      <c r="B130" s="305" t="s">
        <v>122</v>
      </c>
      <c r="C130" s="353"/>
      <c r="D130" s="353"/>
      <c r="E130" s="353"/>
      <c r="F130" s="353"/>
      <c r="G130" s="353"/>
      <c r="H130" s="353"/>
      <c r="I130" s="353"/>
      <c r="J130" s="353"/>
    </row>
    <row r="131" spans="1:11">
      <c r="A131" s="304" t="s">
        <v>123</v>
      </c>
      <c r="B131" s="306"/>
      <c r="C131" s="353">
        <f t="shared" ref="C131:I131" si="55">C118/C97</f>
        <v>0.32516280142943343</v>
      </c>
      <c r="D131" s="353">
        <f t="shared" si="55"/>
        <v>0.61269486827957231</v>
      </c>
      <c r="E131" s="353">
        <f t="shared" si="55"/>
        <v>0.22701787125431022</v>
      </c>
      <c r="F131" s="353">
        <f t="shared" si="55"/>
        <v>0.62317012515066916</v>
      </c>
      <c r="G131" s="353">
        <f t="shared" si="55"/>
        <v>0.42642698843729704</v>
      </c>
      <c r="H131" s="353">
        <f t="shared" si="55"/>
        <v>0.6165524582110421</v>
      </c>
      <c r="I131" s="353">
        <f t="shared" si="55"/>
        <v>0.68146242248090072</v>
      </c>
      <c r="J131" s="353">
        <f t="shared" ref="J131" si="56">J118/J97</f>
        <v>0.99916705540983808</v>
      </c>
    </row>
    <row r="132" spans="1:11" ht="24">
      <c r="A132" s="257"/>
      <c r="B132" s="299" t="s">
        <v>124</v>
      </c>
      <c r="C132" s="353"/>
      <c r="D132" s="353"/>
      <c r="E132" s="353"/>
      <c r="F132" s="353"/>
      <c r="G132" s="353"/>
      <c r="H132" s="353"/>
      <c r="I132" s="353"/>
      <c r="J132" s="353"/>
    </row>
    <row r="133" spans="1:11">
      <c r="A133" s="362" t="s">
        <v>125</v>
      </c>
      <c r="B133" s="363"/>
      <c r="C133" s="353">
        <f t="shared" ref="C133:I133" si="57">C110/C118</f>
        <v>2.0753837525451422</v>
      </c>
      <c r="D133" s="353">
        <f t="shared" si="57"/>
        <v>0.63213374451079873</v>
      </c>
      <c r="E133" s="353">
        <f t="shared" si="57"/>
        <v>3.4049422870969019</v>
      </c>
      <c r="F133" s="353">
        <f t="shared" si="57"/>
        <v>0.60469823510589726</v>
      </c>
      <c r="G133" s="353">
        <f t="shared" si="57"/>
        <v>1.3450699033953077</v>
      </c>
      <c r="H133" s="353">
        <f t="shared" si="57"/>
        <v>0.62192200628240157</v>
      </c>
      <c r="I133" s="353">
        <f t="shared" si="57"/>
        <v>0.4674323440453928</v>
      </c>
      <c r="J133" s="353">
        <f t="shared" ref="J133" si="58">J110/J118</f>
        <v>8.3363896522824557E-4</v>
      </c>
    </row>
    <row r="134" spans="1:11">
      <c r="A134" s="257"/>
      <c r="B134" s="299" t="s">
        <v>126</v>
      </c>
      <c r="C134" s="353"/>
      <c r="D134" s="353"/>
      <c r="E134" s="353"/>
      <c r="F134" s="353"/>
      <c r="G134" s="353"/>
      <c r="H134" s="353"/>
      <c r="I134" s="353"/>
      <c r="J134" s="353"/>
    </row>
    <row r="135" spans="1:11" s="173" customFormat="1" ht="8.1" customHeight="1">
      <c r="A135" s="178"/>
      <c r="B135" s="179"/>
      <c r="C135" s="179"/>
      <c r="D135" s="179"/>
      <c r="E135" s="179"/>
      <c r="F135" s="179"/>
      <c r="G135" s="179"/>
      <c r="H135" s="179"/>
      <c r="I135" s="179"/>
      <c r="J135" s="193"/>
      <c r="K135" s="187"/>
    </row>
    <row r="136" spans="1:11">
      <c r="A136" s="268" t="s">
        <v>127</v>
      </c>
      <c r="B136" s="34"/>
      <c r="C136" s="65">
        <v>7</v>
      </c>
      <c r="D136" s="65">
        <v>8</v>
      </c>
      <c r="E136" s="66">
        <v>8</v>
      </c>
      <c r="F136" s="66">
        <v>1</v>
      </c>
      <c r="G136" s="65">
        <v>5</v>
      </c>
      <c r="H136" s="65">
        <v>5</v>
      </c>
      <c r="I136" s="66">
        <v>7</v>
      </c>
      <c r="J136" s="81">
        <v>13</v>
      </c>
      <c r="K136" s="135">
        <f>AVERAGE(C136:J136)</f>
        <v>6.75</v>
      </c>
    </row>
    <row r="137" spans="1:11" s="173" customFormat="1" ht="8.1" customHeight="1">
      <c r="A137" s="184"/>
      <c r="B137" s="179"/>
      <c r="C137" s="179"/>
      <c r="D137" s="179"/>
      <c r="E137" s="179"/>
      <c r="F137" s="179"/>
      <c r="G137" s="179"/>
      <c r="H137" s="179"/>
      <c r="I137" s="179"/>
      <c r="J137" s="193"/>
      <c r="K137" s="190"/>
    </row>
    <row r="138" spans="1:11">
      <c r="A138" s="307" t="s">
        <v>128</v>
      </c>
      <c r="B138" s="307"/>
      <c r="C138" s="195">
        <v>30767</v>
      </c>
      <c r="D138" s="195">
        <v>62746</v>
      </c>
      <c r="E138" s="186">
        <v>28361</v>
      </c>
      <c r="F138" s="81">
        <v>66541</v>
      </c>
      <c r="G138" s="195">
        <v>55463</v>
      </c>
      <c r="H138" s="195">
        <v>45180</v>
      </c>
      <c r="I138" s="186">
        <v>61998</v>
      </c>
      <c r="J138" s="186">
        <v>83829</v>
      </c>
      <c r="K138" s="136">
        <f>AVERAGE(C138:J138)</f>
        <v>54360.625</v>
      </c>
    </row>
    <row r="139" spans="1:11">
      <c r="A139" s="307" t="s">
        <v>129</v>
      </c>
      <c r="B139" s="307"/>
      <c r="C139" s="195">
        <v>23431</v>
      </c>
      <c r="D139" s="195">
        <v>17710</v>
      </c>
      <c r="E139" s="66">
        <v>200</v>
      </c>
      <c r="F139" s="81">
        <v>50649</v>
      </c>
      <c r="G139" s="195">
        <v>7188</v>
      </c>
      <c r="H139" s="195">
        <v>27275</v>
      </c>
      <c r="I139" s="186">
        <v>47926</v>
      </c>
      <c r="J139" s="186">
        <v>7042</v>
      </c>
      <c r="K139" s="136">
        <f>AVERAGE(C139:J139)</f>
        <v>22677.625</v>
      </c>
    </row>
    <row r="140" spans="1:11">
      <c r="A140" s="307" t="s">
        <v>130</v>
      </c>
      <c r="B140" s="307"/>
      <c r="C140" s="195">
        <v>54198</v>
      </c>
      <c r="D140" s="195">
        <v>80456</v>
      </c>
      <c r="E140" s="186">
        <v>28561</v>
      </c>
      <c r="F140" s="81">
        <v>117190</v>
      </c>
      <c r="G140" s="195">
        <v>62651</v>
      </c>
      <c r="H140" s="195">
        <v>72455</v>
      </c>
      <c r="I140" s="186">
        <v>109924</v>
      </c>
      <c r="J140" s="186">
        <v>90871</v>
      </c>
      <c r="K140" s="136">
        <f>AVERAGE(C140:J140)</f>
        <v>77038.25</v>
      </c>
    </row>
    <row r="143" spans="1:11">
      <c r="A143" s="221"/>
      <c r="B143" s="63"/>
    </row>
    <row r="144" spans="1:11">
      <c r="A144" s="221"/>
      <c r="B144" s="63"/>
    </row>
  </sheetData>
  <mergeCells count="60">
    <mergeCell ref="A133:B133"/>
    <mergeCell ref="A1:B3"/>
    <mergeCell ref="C2:C3"/>
    <mergeCell ref="D2:D3"/>
    <mergeCell ref="E2:E3"/>
    <mergeCell ref="A77:B78"/>
    <mergeCell ref="A122:B122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D124:D125"/>
    <mergeCell ref="H2:H3"/>
    <mergeCell ref="I2:I3"/>
    <mergeCell ref="J2:J3"/>
    <mergeCell ref="F2:F3"/>
    <mergeCell ref="G2:G3"/>
    <mergeCell ref="F122:F123"/>
    <mergeCell ref="G122:G123"/>
    <mergeCell ref="H122:H123"/>
    <mergeCell ref="I122:I123"/>
    <mergeCell ref="J122:J123"/>
    <mergeCell ref="J124:J125"/>
    <mergeCell ref="D126:D127"/>
    <mergeCell ref="E126:E127"/>
    <mergeCell ref="F126:F127"/>
    <mergeCell ref="G126:G127"/>
    <mergeCell ref="H126:H127"/>
    <mergeCell ref="I126:I127"/>
    <mergeCell ref="J126:J127"/>
    <mergeCell ref="E124:E125"/>
    <mergeCell ref="F124:F125"/>
    <mergeCell ref="G124:G125"/>
    <mergeCell ref="H124:H125"/>
    <mergeCell ref="I124:I125"/>
    <mergeCell ref="I129:I130"/>
    <mergeCell ref="J129:J130"/>
    <mergeCell ref="D131:D132"/>
    <mergeCell ref="E131:E132"/>
    <mergeCell ref="F131:F132"/>
    <mergeCell ref="G131:G132"/>
    <mergeCell ref="H131:H132"/>
    <mergeCell ref="I131:I132"/>
    <mergeCell ref="J131:J132"/>
    <mergeCell ref="D129:D130"/>
    <mergeCell ref="E129:E130"/>
    <mergeCell ref="F129:F130"/>
    <mergeCell ref="G129:G130"/>
    <mergeCell ref="H129:H130"/>
    <mergeCell ref="I133:I134"/>
    <mergeCell ref="J133:J134"/>
    <mergeCell ref="D133:D134"/>
    <mergeCell ref="E133:E134"/>
    <mergeCell ref="F133:F134"/>
    <mergeCell ref="G133:G134"/>
    <mergeCell ref="H133:H134"/>
  </mergeCells>
  <conditionalFormatting sqref="C122:I123">
    <cfRule type="cellIs" dxfId="21" priority="8" operator="lessThan">
      <formula>0</formula>
    </cfRule>
  </conditionalFormatting>
  <conditionalFormatting sqref="C65:I65">
    <cfRule type="cellIs" dxfId="20" priority="7" operator="lessThan">
      <formula>0</formula>
    </cfRule>
  </conditionalFormatting>
  <conditionalFormatting sqref="J122:J123">
    <cfRule type="cellIs" dxfId="19" priority="2" operator="lessThan">
      <formula>0</formula>
    </cfRule>
  </conditionalFormatting>
  <conditionalFormatting sqref="J65">
    <cfRule type="cellIs" dxfId="18" priority="1" operator="lessThan">
      <formula>0</formula>
    </cfRule>
  </conditionalFormatting>
  <printOptions horizontalCentered="1"/>
  <pageMargins left="0.5" right="0.5" top="0.75" bottom="0.35" header="0.5" footer="0.15"/>
  <pageSetup scale="66" fitToWidth="2" fitToHeight="2" orientation="portrait" r:id="rId1"/>
  <headerFooter alignWithMargins="0">
    <oddHeader>&amp;C&amp;"Arial,Bold"&amp;14CLASS IV FAIRS</oddHeader>
    <oddFooter xml:space="preserve">&amp;CFairs and Expositions&amp;R
</oddFooter>
  </headerFooter>
  <rowBreaks count="1" manualBreakCount="1">
    <brk id="76" max="9" man="1"/>
  </rowBreaks>
  <colBreaks count="1" manualBreakCount="1">
    <brk id="8" max="143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40"/>
  <sheetViews>
    <sheetView view="pageBreakPreview" zoomScale="85" zoomScaleNormal="100" zoomScaleSheetLayoutView="85" workbookViewId="0">
      <selection activeCell="G10" sqref="G10"/>
    </sheetView>
  </sheetViews>
  <sheetFormatPr defaultRowHeight="12.75"/>
  <cols>
    <col min="1" max="1" width="4.7109375" style="20" customWidth="1"/>
    <col min="2" max="2" width="56.42578125" style="20" customWidth="1"/>
    <col min="3" max="5" width="12.7109375" style="20" customWidth="1"/>
    <col min="6" max="8" width="12.7109375" style="60" customWidth="1"/>
    <col min="9" max="9" width="13.42578125" style="20" customWidth="1"/>
    <col min="10" max="10" width="12.140625" style="20" customWidth="1"/>
    <col min="11" max="16384" width="9.140625" style="20"/>
  </cols>
  <sheetData>
    <row r="1" spans="1:14" ht="12" customHeight="1">
      <c r="A1" s="356"/>
      <c r="B1" s="357"/>
      <c r="C1" s="252"/>
      <c r="D1" s="252"/>
      <c r="E1" s="252"/>
      <c r="F1" s="252"/>
      <c r="G1" s="252"/>
      <c r="H1" s="252"/>
    </row>
    <row r="2" spans="1:14" ht="12" customHeight="1">
      <c r="A2" s="374"/>
      <c r="B2" s="375"/>
      <c r="C2" s="367" t="s">
        <v>174</v>
      </c>
      <c r="D2" s="367" t="s">
        <v>175</v>
      </c>
      <c r="E2" s="367" t="s">
        <v>176</v>
      </c>
      <c r="F2" s="367" t="s">
        <v>223</v>
      </c>
      <c r="G2" s="367" t="s">
        <v>177</v>
      </c>
      <c r="H2" s="367" t="s">
        <v>178</v>
      </c>
    </row>
    <row r="3" spans="1:14" ht="69" customHeight="1">
      <c r="A3" s="374"/>
      <c r="B3" s="375"/>
      <c r="C3" s="367"/>
      <c r="D3" s="367"/>
      <c r="E3" s="367"/>
      <c r="F3" s="367"/>
      <c r="G3" s="367"/>
      <c r="H3" s="367"/>
      <c r="J3" s="20" t="s">
        <v>41</v>
      </c>
    </row>
    <row r="4" spans="1:14" ht="13.5" customHeight="1">
      <c r="A4" s="312" t="s">
        <v>205</v>
      </c>
      <c r="B4" s="312"/>
      <c r="C4" s="49"/>
      <c r="D4" s="49"/>
      <c r="E4" s="49"/>
      <c r="F4" s="48"/>
      <c r="G4" s="48"/>
      <c r="H4" s="50"/>
      <c r="I4" s="65"/>
      <c r="J4" s="65"/>
      <c r="K4" s="65"/>
      <c r="L4" s="65"/>
      <c r="M4" s="65"/>
      <c r="N4" s="65"/>
    </row>
    <row r="5" spans="1:14" ht="13.5" customHeight="1">
      <c r="A5" s="255"/>
      <c r="B5" s="36" t="s">
        <v>42</v>
      </c>
      <c r="C5" s="249">
        <v>-361088.48</v>
      </c>
      <c r="D5" s="249">
        <v>-226435.70999999961</v>
      </c>
      <c r="E5" s="249">
        <v>299492</v>
      </c>
      <c r="F5" s="249">
        <v>86274</v>
      </c>
      <c r="G5" s="249">
        <v>-241014</v>
      </c>
      <c r="H5" s="249">
        <v>2371</v>
      </c>
    </row>
    <row r="6" spans="1:14" ht="13.5" customHeight="1">
      <c r="A6" s="255"/>
      <c r="B6" s="28" t="s">
        <v>43</v>
      </c>
      <c r="C6" s="26">
        <v>0</v>
      </c>
      <c r="D6" s="26">
        <v>0</v>
      </c>
      <c r="E6" s="26">
        <v>0</v>
      </c>
      <c r="F6" s="26">
        <v>11500</v>
      </c>
      <c r="G6" s="26">
        <v>0</v>
      </c>
      <c r="H6" s="27">
        <v>67988</v>
      </c>
    </row>
    <row r="7" spans="1:14" ht="13.5" customHeight="1">
      <c r="A7" s="255"/>
      <c r="B7" s="22" t="s">
        <v>44</v>
      </c>
      <c r="C7" s="42">
        <v>2851672</v>
      </c>
      <c r="D7" s="42">
        <v>1184695.8899999997</v>
      </c>
      <c r="E7" s="27">
        <v>3578106</v>
      </c>
      <c r="F7" s="26"/>
      <c r="G7" s="26">
        <v>1122096</v>
      </c>
      <c r="H7" s="27">
        <v>738285</v>
      </c>
    </row>
    <row r="8" spans="1:14" ht="13.5" customHeight="1">
      <c r="A8" s="255"/>
      <c r="B8" s="22" t="s">
        <v>45</v>
      </c>
      <c r="C8" s="110">
        <v>0</v>
      </c>
      <c r="D8" s="110"/>
      <c r="E8" s="85">
        <v>0</v>
      </c>
      <c r="F8" s="86"/>
      <c r="G8" s="29">
        <v>0</v>
      </c>
      <c r="H8" s="30">
        <v>-1934651</v>
      </c>
      <c r="J8" s="31">
        <f>SUM(C8:E8)</f>
        <v>0</v>
      </c>
    </row>
    <row r="9" spans="1:14" s="33" customFormat="1" ht="13.5" customHeight="1" thickBot="1">
      <c r="A9" s="256"/>
      <c r="B9" s="115" t="s">
        <v>46</v>
      </c>
      <c r="C9" s="78">
        <f t="shared" ref="C9:H9" si="0">SUM(C5:C8)</f>
        <v>2490583.52</v>
      </c>
      <c r="D9" s="78">
        <f t="shared" si="0"/>
        <v>958260.18</v>
      </c>
      <c r="E9" s="78">
        <f t="shared" si="0"/>
        <v>3877598</v>
      </c>
      <c r="F9" s="78">
        <f t="shared" si="0"/>
        <v>97774</v>
      </c>
      <c r="G9" s="78">
        <f t="shared" si="0"/>
        <v>881082</v>
      </c>
      <c r="H9" s="78">
        <f t="shared" si="0"/>
        <v>-1126007</v>
      </c>
      <c r="J9" s="31">
        <f>SUM(C9:E9)</f>
        <v>7326441.7000000002</v>
      </c>
    </row>
    <row r="10" spans="1:14" s="33" customFormat="1" ht="13.5" customHeight="1">
      <c r="A10" s="257" t="s">
        <v>47</v>
      </c>
      <c r="B10" s="47"/>
      <c r="C10" s="53"/>
      <c r="D10" s="53"/>
      <c r="E10" s="53"/>
      <c r="F10" s="53"/>
      <c r="G10" s="53"/>
      <c r="H10" s="53"/>
    </row>
    <row r="11" spans="1:14" s="33" customFormat="1" ht="13.5" customHeight="1">
      <c r="A11" s="258"/>
      <c r="B11" s="34" t="s">
        <v>48</v>
      </c>
      <c r="C11" s="35">
        <v>30522</v>
      </c>
      <c r="D11" s="35">
        <v>30552</v>
      </c>
      <c r="E11" s="35">
        <v>552</v>
      </c>
      <c r="F11" s="35">
        <v>30552</v>
      </c>
      <c r="G11" s="35">
        <v>0</v>
      </c>
      <c r="H11" s="35">
        <v>30552</v>
      </c>
      <c r="J11" s="31">
        <f>SUM(C11:E11)</f>
        <v>61626</v>
      </c>
    </row>
    <row r="12" spans="1:14" s="33" customFormat="1" ht="13.5" customHeight="1">
      <c r="A12" s="258"/>
      <c r="B12" s="34" t="s">
        <v>49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J12" s="31">
        <f>SUM(C12:E12)</f>
        <v>0</v>
      </c>
    </row>
    <row r="13" spans="1:14" s="33" customFormat="1" ht="13.5" customHeight="1" thickBot="1">
      <c r="A13" s="259"/>
      <c r="B13" s="43" t="s">
        <v>50</v>
      </c>
      <c r="C13" s="44">
        <v>0</v>
      </c>
      <c r="D13" s="44">
        <v>1935</v>
      </c>
      <c r="E13" s="44">
        <v>3000</v>
      </c>
      <c r="F13" s="44">
        <v>405424</v>
      </c>
      <c r="G13" s="44">
        <v>0</v>
      </c>
      <c r="H13" s="44">
        <f>1935+12216+44469</f>
        <v>58620</v>
      </c>
      <c r="J13" s="31">
        <f>SUM(C13:E13)</f>
        <v>4935</v>
      </c>
    </row>
    <row r="14" spans="1:14" ht="13.5" customHeight="1">
      <c r="A14" s="254" t="s">
        <v>51</v>
      </c>
      <c r="B14" s="36"/>
      <c r="C14" s="38"/>
      <c r="D14" s="38"/>
      <c r="E14" s="38"/>
      <c r="F14" s="37"/>
      <c r="G14" s="37"/>
      <c r="H14" s="39"/>
    </row>
    <row r="15" spans="1:14" ht="13.5" customHeight="1">
      <c r="A15" s="260"/>
      <c r="B15" s="40" t="s">
        <v>52</v>
      </c>
      <c r="C15" s="41">
        <v>156284.49</v>
      </c>
      <c r="D15" s="41">
        <v>1097154.26</v>
      </c>
      <c r="E15" s="41">
        <v>371467</v>
      </c>
      <c r="F15" s="29">
        <v>1103161</v>
      </c>
      <c r="G15" s="29">
        <v>188578</v>
      </c>
      <c r="H15" s="30">
        <v>192891</v>
      </c>
    </row>
    <row r="16" spans="1:14" ht="13.5" customHeight="1">
      <c r="A16" s="260"/>
      <c r="B16" s="40" t="s">
        <v>53</v>
      </c>
      <c r="C16" s="41">
        <v>30069.05</v>
      </c>
      <c r="D16" s="41">
        <v>81964.58</v>
      </c>
      <c r="E16" s="41">
        <v>87770</v>
      </c>
      <c r="F16" s="29">
        <v>259600</v>
      </c>
      <c r="G16" s="29">
        <v>40285</v>
      </c>
      <c r="H16" s="30">
        <v>48295</v>
      </c>
    </row>
    <row r="17" spans="1:12" ht="13.5" customHeight="1">
      <c r="A17" s="260"/>
      <c r="B17" s="40" t="s">
        <v>54</v>
      </c>
      <c r="C17" s="41">
        <v>82767.12</v>
      </c>
      <c r="D17" s="41">
        <v>408221.3</v>
      </c>
      <c r="E17" s="41">
        <v>264032</v>
      </c>
      <c r="F17" s="29">
        <v>877362</v>
      </c>
      <c r="G17" s="29">
        <v>27646</v>
      </c>
      <c r="H17" s="30">
        <v>89862</v>
      </c>
    </row>
    <row r="18" spans="1:12" ht="13.5" customHeight="1">
      <c r="A18" s="260"/>
      <c r="B18" s="40" t="s">
        <v>55</v>
      </c>
      <c r="C18" s="41">
        <v>62300</v>
      </c>
      <c r="D18" s="41">
        <v>481061.69</v>
      </c>
      <c r="E18" s="41">
        <v>0</v>
      </c>
      <c r="F18" s="29">
        <v>483456</v>
      </c>
      <c r="G18" s="29">
        <v>69878</v>
      </c>
      <c r="H18" s="30">
        <v>77447</v>
      </c>
    </row>
    <row r="19" spans="1:12" ht="13.5" customHeight="1">
      <c r="A19" s="260"/>
      <c r="B19" s="40" t="s">
        <v>56</v>
      </c>
      <c r="C19" s="41">
        <v>0</v>
      </c>
      <c r="D19" s="41">
        <v>91010.8</v>
      </c>
      <c r="E19" s="41">
        <v>27905</v>
      </c>
      <c r="F19" s="29">
        <v>17299</v>
      </c>
      <c r="G19" s="29">
        <v>20727</v>
      </c>
      <c r="H19" s="30">
        <v>18197</v>
      </c>
    </row>
    <row r="20" spans="1:12" ht="13.5" customHeight="1">
      <c r="A20" s="260"/>
      <c r="B20" s="40" t="s">
        <v>57</v>
      </c>
      <c r="C20" s="41">
        <v>0</v>
      </c>
      <c r="D20" s="41">
        <v>0</v>
      </c>
      <c r="E20" s="41">
        <v>0</v>
      </c>
      <c r="F20" s="29">
        <v>0</v>
      </c>
      <c r="G20" s="29">
        <v>0</v>
      </c>
      <c r="H20" s="30">
        <v>0</v>
      </c>
    </row>
    <row r="21" spans="1:12" ht="13.5" customHeight="1">
      <c r="A21" s="260"/>
      <c r="B21" s="40" t="s">
        <v>58</v>
      </c>
      <c r="C21" s="42">
        <v>14628.2</v>
      </c>
      <c r="D21" s="42">
        <v>7395</v>
      </c>
      <c r="E21" s="42">
        <v>0</v>
      </c>
      <c r="F21" s="26">
        <v>0</v>
      </c>
      <c r="G21" s="26">
        <v>0</v>
      </c>
      <c r="H21" s="27">
        <v>0</v>
      </c>
    </row>
    <row r="22" spans="1:12" ht="13.5" customHeight="1">
      <c r="A22" s="260"/>
      <c r="B22" s="40" t="s">
        <v>59</v>
      </c>
      <c r="C22" s="41">
        <v>756200.29</v>
      </c>
      <c r="D22" s="41">
        <v>206472.35</v>
      </c>
      <c r="E22" s="41">
        <v>546971</v>
      </c>
      <c r="F22" s="29">
        <v>25374</v>
      </c>
      <c r="G22" s="29">
        <v>1378927</v>
      </c>
      <c r="H22" s="30">
        <v>563190</v>
      </c>
    </row>
    <row r="23" spans="1:12" ht="13.5" customHeight="1">
      <c r="A23" s="260"/>
      <c r="B23" s="40" t="s">
        <v>60</v>
      </c>
      <c r="C23" s="41">
        <v>0</v>
      </c>
      <c r="D23" s="41">
        <v>199034.55</v>
      </c>
      <c r="E23" s="41">
        <v>0</v>
      </c>
      <c r="F23" s="29">
        <v>0</v>
      </c>
      <c r="G23" s="29">
        <v>0</v>
      </c>
      <c r="H23" s="30">
        <v>0</v>
      </c>
    </row>
    <row r="24" spans="1:12" ht="13.5" customHeight="1">
      <c r="A24" s="260"/>
      <c r="B24" s="40" t="s">
        <v>61</v>
      </c>
      <c r="C24" s="41">
        <v>0</v>
      </c>
      <c r="D24" s="41">
        <v>0</v>
      </c>
      <c r="E24" s="41">
        <v>0</v>
      </c>
      <c r="F24" s="29">
        <v>0</v>
      </c>
      <c r="G24" s="29">
        <v>0</v>
      </c>
      <c r="H24" s="30">
        <v>0</v>
      </c>
    </row>
    <row r="25" spans="1:12" ht="13.5" customHeight="1">
      <c r="A25" s="260"/>
      <c r="B25" s="40" t="s">
        <v>62</v>
      </c>
      <c r="C25" s="41">
        <v>0</v>
      </c>
      <c r="D25" s="41">
        <v>0</v>
      </c>
      <c r="E25" s="41">
        <v>0</v>
      </c>
      <c r="F25" s="29">
        <v>0</v>
      </c>
      <c r="G25" s="29">
        <v>0</v>
      </c>
      <c r="H25" s="30">
        <v>0</v>
      </c>
    </row>
    <row r="26" spans="1:12" ht="13.5" customHeight="1">
      <c r="A26" s="260"/>
      <c r="B26" s="40" t="s">
        <v>63</v>
      </c>
      <c r="C26" s="41">
        <v>104269.75</v>
      </c>
      <c r="D26" s="41">
        <v>517969.5</v>
      </c>
      <c r="E26" s="41">
        <v>196452</v>
      </c>
      <c r="F26" s="29">
        <v>641106</v>
      </c>
      <c r="G26" s="29">
        <v>236691</v>
      </c>
      <c r="H26" s="30">
        <v>106760</v>
      </c>
    </row>
    <row r="27" spans="1:12" ht="13.5" customHeight="1">
      <c r="A27" s="260"/>
      <c r="B27" s="40" t="s">
        <v>151</v>
      </c>
      <c r="C27" s="41">
        <v>0</v>
      </c>
      <c r="D27" s="41">
        <v>0</v>
      </c>
      <c r="E27" s="41">
        <v>0</v>
      </c>
      <c r="F27" s="29">
        <v>0</v>
      </c>
      <c r="G27" s="29">
        <v>0</v>
      </c>
      <c r="H27" s="30">
        <v>0</v>
      </c>
    </row>
    <row r="28" spans="1:12" ht="13.5" customHeight="1">
      <c r="A28" s="260"/>
      <c r="B28" s="40" t="s">
        <v>65</v>
      </c>
      <c r="C28" s="41">
        <v>949781.15</v>
      </c>
      <c r="D28" s="41">
        <v>491532.63</v>
      </c>
      <c r="E28" s="41">
        <v>815888</v>
      </c>
      <c r="F28" s="29">
        <v>337374</v>
      </c>
      <c r="G28" s="29">
        <v>3279244</v>
      </c>
      <c r="H28" s="30">
        <v>938143</v>
      </c>
      <c r="J28" s="31">
        <f>SUM(C28:E28)</f>
        <v>2257201.7800000003</v>
      </c>
    </row>
    <row r="29" spans="1:12" ht="13.5" customHeight="1">
      <c r="A29" s="260"/>
      <c r="B29" s="40" t="s">
        <v>66</v>
      </c>
      <c r="C29" s="41">
        <v>39329.519999999997</v>
      </c>
      <c r="D29" s="41">
        <v>12909.39</v>
      </c>
      <c r="E29" s="41">
        <v>8441</v>
      </c>
      <c r="F29" s="29">
        <v>0</v>
      </c>
      <c r="G29" s="29">
        <v>0</v>
      </c>
      <c r="H29" s="30">
        <v>0</v>
      </c>
      <c r="J29" s="31">
        <f>SUM(C29:E29)</f>
        <v>60679.909999999996</v>
      </c>
    </row>
    <row r="30" spans="1:12" ht="13.5" customHeight="1">
      <c r="A30" s="260"/>
      <c r="B30" s="40" t="s">
        <v>67</v>
      </c>
      <c r="C30" s="42">
        <v>0</v>
      </c>
      <c r="D30" s="42">
        <v>73835.91</v>
      </c>
      <c r="E30" s="42">
        <v>55098</v>
      </c>
      <c r="F30" s="26">
        <v>27536</v>
      </c>
      <c r="G30" s="26">
        <v>2349802</v>
      </c>
      <c r="H30" s="27">
        <v>998986</v>
      </c>
      <c r="J30" s="31">
        <f>SUM(C30:E30)</f>
        <v>128933.91</v>
      </c>
      <c r="K30" s="31">
        <f>+J30+J29+J8</f>
        <v>189613.82</v>
      </c>
      <c r="L30" s="20" t="s">
        <v>68</v>
      </c>
    </row>
    <row r="31" spans="1:12" s="33" customFormat="1" ht="13.5" customHeight="1" thickBot="1">
      <c r="A31" s="256" t="s">
        <v>69</v>
      </c>
      <c r="B31" s="43"/>
      <c r="C31" s="44">
        <f t="shared" ref="C31:H31" si="1">SUM(C15:C30)</f>
        <v>2195629.5699999998</v>
      </c>
      <c r="D31" s="44">
        <f t="shared" si="1"/>
        <v>3668561.96</v>
      </c>
      <c r="E31" s="44">
        <f t="shared" si="1"/>
        <v>2374024</v>
      </c>
      <c r="F31" s="44">
        <f t="shared" si="1"/>
        <v>3772268</v>
      </c>
      <c r="G31" s="44">
        <f t="shared" si="1"/>
        <v>7591778</v>
      </c>
      <c r="H31" s="44">
        <f t="shared" si="1"/>
        <v>3033771</v>
      </c>
      <c r="I31" s="132">
        <f>AVERAGE(C31:H31)</f>
        <v>3772672.0883333334</v>
      </c>
      <c r="J31" s="45">
        <f>SUM(C31:E31)+SUM(C11:E13)</f>
        <v>8304776.5299999993</v>
      </c>
    </row>
    <row r="32" spans="1:12" ht="13.5" customHeight="1">
      <c r="A32" s="254" t="s">
        <v>71</v>
      </c>
      <c r="B32" s="36"/>
      <c r="C32" s="38"/>
      <c r="D32" s="38"/>
      <c r="E32" s="38"/>
      <c r="F32" s="37"/>
      <c r="G32" s="37"/>
      <c r="H32" s="39"/>
    </row>
    <row r="33" spans="1:10" ht="13.5" customHeight="1">
      <c r="A33" s="260"/>
      <c r="B33" s="40" t="s">
        <v>72</v>
      </c>
      <c r="C33" s="41">
        <v>500856.71</v>
      </c>
      <c r="D33" s="41">
        <v>644661.82999999996</v>
      </c>
      <c r="E33" s="41">
        <v>529915</v>
      </c>
      <c r="F33" s="29">
        <v>1494962</v>
      </c>
      <c r="G33" s="29">
        <v>1883994</v>
      </c>
      <c r="H33" s="30">
        <v>455484</v>
      </c>
      <c r="J33" s="31">
        <f>SUM(C33:E33)</f>
        <v>1675433.54</v>
      </c>
    </row>
    <row r="34" spans="1:10" ht="13.5" customHeight="1">
      <c r="A34" s="260"/>
      <c r="B34" s="40" t="s">
        <v>73</v>
      </c>
      <c r="C34" s="41">
        <v>1021515.4199999998</v>
      </c>
      <c r="D34" s="41">
        <v>554442.69000000006</v>
      </c>
      <c r="E34" s="41">
        <v>364490</v>
      </c>
      <c r="F34" s="29">
        <v>805675</v>
      </c>
      <c r="G34" s="29">
        <v>3528446</v>
      </c>
      <c r="H34" s="30">
        <v>516303</v>
      </c>
      <c r="J34" s="31">
        <f>SUM(C34:E34)</f>
        <v>1940448.1099999999</v>
      </c>
    </row>
    <row r="35" spans="1:10" ht="13.5" customHeight="1">
      <c r="A35" s="260"/>
      <c r="B35" s="40" t="s">
        <v>74</v>
      </c>
      <c r="C35" s="41">
        <v>86774.849999999991</v>
      </c>
      <c r="D35" s="41">
        <v>274258.14</v>
      </c>
      <c r="E35" s="41">
        <v>97214</v>
      </c>
      <c r="F35" s="29">
        <v>162269</v>
      </c>
      <c r="G35" s="29">
        <v>148146</v>
      </c>
      <c r="H35" s="30">
        <v>128399</v>
      </c>
    </row>
    <row r="36" spans="1:10" ht="13.5" customHeight="1">
      <c r="A36" s="260"/>
      <c r="B36" s="40" t="s">
        <v>75</v>
      </c>
      <c r="C36" s="41">
        <v>43881.89</v>
      </c>
      <c r="D36" s="41">
        <v>388185.01</v>
      </c>
      <c r="E36" s="41">
        <v>136307</v>
      </c>
      <c r="F36" s="29">
        <v>371696</v>
      </c>
      <c r="G36" s="29">
        <v>69927</v>
      </c>
      <c r="H36" s="30">
        <v>38691</v>
      </c>
    </row>
    <row r="37" spans="1:10" ht="13.5" customHeight="1">
      <c r="A37" s="260"/>
      <c r="B37" s="40" t="s">
        <v>63</v>
      </c>
      <c r="C37" s="41">
        <v>5805.74</v>
      </c>
      <c r="D37" s="41">
        <v>109088.97</v>
      </c>
      <c r="E37" s="41">
        <v>35830</v>
      </c>
      <c r="F37" s="29">
        <v>252508</v>
      </c>
      <c r="G37" s="29">
        <v>27843</v>
      </c>
      <c r="H37" s="30">
        <v>0</v>
      </c>
    </row>
    <row r="38" spans="1:10" ht="13.5" customHeight="1">
      <c r="A38" s="260"/>
      <c r="B38" s="40" t="s">
        <v>76</v>
      </c>
      <c r="C38" s="41">
        <v>0</v>
      </c>
      <c r="D38" s="41">
        <v>41102.229999999996</v>
      </c>
      <c r="E38" s="41">
        <v>18023</v>
      </c>
      <c r="F38" s="29">
        <v>1625</v>
      </c>
      <c r="G38" s="29">
        <v>0</v>
      </c>
      <c r="H38" s="30">
        <v>27302</v>
      </c>
    </row>
    <row r="39" spans="1:10" ht="13.5" customHeight="1">
      <c r="A39" s="260"/>
      <c r="B39" s="40" t="s">
        <v>77</v>
      </c>
      <c r="C39" s="41">
        <v>0</v>
      </c>
      <c r="D39" s="41">
        <v>95341.739999999991</v>
      </c>
      <c r="E39" s="41">
        <v>11830</v>
      </c>
      <c r="F39" s="29">
        <v>31207</v>
      </c>
      <c r="G39" s="29">
        <v>18363</v>
      </c>
      <c r="H39" s="30">
        <v>32601</v>
      </c>
    </row>
    <row r="40" spans="1:10" ht="13.5" customHeight="1">
      <c r="A40" s="260"/>
      <c r="B40" s="40" t="s">
        <v>56</v>
      </c>
      <c r="C40" s="41">
        <v>30330.829999999998</v>
      </c>
      <c r="D40" s="41">
        <v>282657.90999999997</v>
      </c>
      <c r="E40" s="41">
        <v>179259</v>
      </c>
      <c r="F40" s="29">
        <v>74892</v>
      </c>
      <c r="G40" s="29">
        <v>56043</v>
      </c>
      <c r="H40" s="30">
        <v>97254</v>
      </c>
    </row>
    <row r="41" spans="1:10" ht="13.5" customHeight="1">
      <c r="A41" s="260"/>
      <c r="B41" s="40" t="s">
        <v>57</v>
      </c>
      <c r="C41" s="41">
        <v>0</v>
      </c>
      <c r="D41" s="41">
        <v>19477.939999999999</v>
      </c>
      <c r="E41" s="41">
        <v>0</v>
      </c>
      <c r="F41" s="29">
        <v>0</v>
      </c>
      <c r="G41" s="29">
        <v>0</v>
      </c>
      <c r="H41" s="30">
        <v>0</v>
      </c>
    </row>
    <row r="42" spans="1:10" ht="13.5" customHeight="1">
      <c r="A42" s="260"/>
      <c r="B42" s="40" t="s">
        <v>58</v>
      </c>
      <c r="C42" s="41">
        <v>86245.440000000002</v>
      </c>
      <c r="D42" s="41"/>
      <c r="E42" s="41">
        <v>0</v>
      </c>
      <c r="F42" s="29">
        <v>0</v>
      </c>
      <c r="G42" s="29">
        <v>0</v>
      </c>
      <c r="H42" s="30">
        <v>0</v>
      </c>
    </row>
    <row r="43" spans="1:10" ht="13.5" customHeight="1">
      <c r="A43" s="260"/>
      <c r="B43" s="40" t="s">
        <v>59</v>
      </c>
      <c r="C43" s="41">
        <v>487765.38999999996</v>
      </c>
      <c r="D43" s="41">
        <v>225573.07999999996</v>
      </c>
      <c r="E43" s="41">
        <v>416400</v>
      </c>
      <c r="F43" s="29">
        <v>126878</v>
      </c>
      <c r="G43" s="29">
        <v>1041486</v>
      </c>
      <c r="H43" s="30">
        <v>350098</v>
      </c>
    </row>
    <row r="44" spans="1:10" ht="13.5" customHeight="1">
      <c r="A44" s="260"/>
      <c r="B44" s="40" t="s">
        <v>78</v>
      </c>
      <c r="C44" s="41">
        <v>139397.5</v>
      </c>
      <c r="D44" s="41">
        <v>901859.51</v>
      </c>
      <c r="E44" s="41">
        <v>376149</v>
      </c>
      <c r="F44" s="29">
        <v>866839</v>
      </c>
      <c r="G44" s="29">
        <v>153924</v>
      </c>
      <c r="H44" s="30">
        <v>248632</v>
      </c>
    </row>
    <row r="45" spans="1:10" ht="13.5" customHeight="1">
      <c r="A45" s="260"/>
      <c r="B45" s="40" t="s">
        <v>61</v>
      </c>
      <c r="C45" s="41">
        <v>0</v>
      </c>
      <c r="D45" s="41"/>
      <c r="E45" s="41">
        <v>0</v>
      </c>
      <c r="F45" s="29">
        <v>0</v>
      </c>
      <c r="G45" s="29">
        <v>0</v>
      </c>
      <c r="H45" s="30">
        <v>0</v>
      </c>
    </row>
    <row r="46" spans="1:10" ht="13.5" customHeight="1">
      <c r="A46" s="260"/>
      <c r="B46" s="40" t="s">
        <v>79</v>
      </c>
      <c r="C46" s="41">
        <v>0</v>
      </c>
      <c r="D46" s="41">
        <v>40996.57</v>
      </c>
      <c r="E46" s="41">
        <v>0</v>
      </c>
      <c r="F46" s="29">
        <v>0</v>
      </c>
      <c r="G46" s="29">
        <v>0</v>
      </c>
      <c r="H46" s="30">
        <v>0</v>
      </c>
    </row>
    <row r="47" spans="1:10" ht="13.5" customHeight="1">
      <c r="A47" s="260"/>
      <c r="B47" s="40" t="s">
        <v>80</v>
      </c>
      <c r="C47" s="41">
        <v>0</v>
      </c>
      <c r="D47" s="41">
        <v>13509.55</v>
      </c>
      <c r="E47" s="41">
        <v>2199</v>
      </c>
      <c r="F47" s="29">
        <v>0</v>
      </c>
      <c r="G47" s="29">
        <v>0</v>
      </c>
      <c r="H47" s="30">
        <v>17697</v>
      </c>
    </row>
    <row r="48" spans="1:10" ht="13.5" customHeight="1">
      <c r="A48" s="260"/>
      <c r="B48" s="40" t="s">
        <v>81</v>
      </c>
      <c r="C48" s="41">
        <v>-902.04</v>
      </c>
      <c r="D48" s="41">
        <v>1007472.53</v>
      </c>
      <c r="E48" s="41">
        <v>-2650</v>
      </c>
      <c r="F48" s="29">
        <v>0</v>
      </c>
      <c r="G48" s="29">
        <v>0</v>
      </c>
      <c r="H48" s="30">
        <v>0</v>
      </c>
    </row>
    <row r="49" spans="1:10" ht="13.5" customHeight="1">
      <c r="A49" s="260"/>
      <c r="B49" s="40" t="s">
        <v>82</v>
      </c>
      <c r="C49" s="41">
        <v>-1021.12</v>
      </c>
      <c r="D49" s="41"/>
      <c r="E49" s="41">
        <v>-36</v>
      </c>
      <c r="F49" s="29">
        <v>0</v>
      </c>
      <c r="G49" s="29">
        <v>0</v>
      </c>
      <c r="H49" s="30">
        <v>35</v>
      </c>
    </row>
    <row r="50" spans="1:10" ht="13.5" customHeight="1">
      <c r="A50" s="260"/>
      <c r="B50" s="40" t="s">
        <v>83</v>
      </c>
      <c r="C50" s="41">
        <v>0</v>
      </c>
      <c r="D50" s="41">
        <v>43421.08</v>
      </c>
      <c r="E50" s="41">
        <v>0</v>
      </c>
      <c r="F50" s="29">
        <v>18058</v>
      </c>
      <c r="G50" s="29">
        <v>0</v>
      </c>
      <c r="H50" s="30">
        <v>877929</v>
      </c>
    </row>
    <row r="51" spans="1:10" s="33" customFormat="1" ht="13.5" customHeight="1" thickBot="1">
      <c r="A51" s="256" t="s">
        <v>84</v>
      </c>
      <c r="B51" s="43"/>
      <c r="C51" s="44">
        <f t="shared" ref="C51:H51" si="2">SUM(C33:C50)</f>
        <v>2400650.61</v>
      </c>
      <c r="D51" s="44">
        <f t="shared" si="2"/>
        <v>4642048.78</v>
      </c>
      <c r="E51" s="44">
        <f t="shared" si="2"/>
        <v>2164930</v>
      </c>
      <c r="F51" s="44">
        <f t="shared" si="2"/>
        <v>4206609</v>
      </c>
      <c r="G51" s="44">
        <f t="shared" si="2"/>
        <v>6928172</v>
      </c>
      <c r="H51" s="44">
        <f t="shared" si="2"/>
        <v>2790425</v>
      </c>
      <c r="I51" s="132">
        <f>AVERAGE(C51:H51)</f>
        <v>3855472.5649999999</v>
      </c>
      <c r="J51" s="45">
        <f>+SUM(C51:E51)+SUM(C53:E53)</f>
        <v>9980408.8500000015</v>
      </c>
    </row>
    <row r="52" spans="1:10" ht="13.5" customHeight="1">
      <c r="A52" s="271" t="s">
        <v>85</v>
      </c>
      <c r="B52" s="87"/>
      <c r="C52" s="88"/>
      <c r="D52" s="88"/>
      <c r="E52" s="88"/>
      <c r="F52" s="89"/>
      <c r="G52" s="89"/>
      <c r="H52" s="90"/>
      <c r="I52" s="96"/>
    </row>
    <row r="53" spans="1:10" s="33" customFormat="1" ht="13.5" customHeight="1">
      <c r="A53" s="258"/>
      <c r="B53" s="34" t="s">
        <v>86</v>
      </c>
      <c r="C53" s="35">
        <v>269008.67</v>
      </c>
      <c r="D53" s="35">
        <v>99454.79</v>
      </c>
      <c r="E53" s="35">
        <v>404316</v>
      </c>
      <c r="F53" s="35">
        <v>0</v>
      </c>
      <c r="G53" s="35">
        <v>210265</v>
      </c>
      <c r="H53" s="35">
        <v>260069</v>
      </c>
      <c r="I53" s="137"/>
      <c r="J53" s="31">
        <f>SUM(C53:E53)</f>
        <v>772779.46</v>
      </c>
    </row>
    <row r="54" spans="1:10" s="33" customFormat="1" ht="13.5" customHeight="1">
      <c r="A54" s="261"/>
      <c r="B54" s="47" t="s">
        <v>207</v>
      </c>
      <c r="C54" s="35">
        <v>994704</v>
      </c>
      <c r="D54" s="35">
        <v>0</v>
      </c>
      <c r="E54" s="53">
        <v>1271274</v>
      </c>
      <c r="F54" s="53">
        <v>0</v>
      </c>
      <c r="G54" s="53">
        <v>0</v>
      </c>
      <c r="H54" s="53">
        <v>159116</v>
      </c>
      <c r="I54" s="137"/>
      <c r="J54" s="31">
        <f>SUM(C54:E54)</f>
        <v>2265978</v>
      </c>
    </row>
    <row r="55" spans="1:10" s="33" customFormat="1" ht="13.5" customHeight="1">
      <c r="A55" s="257" t="s">
        <v>208</v>
      </c>
      <c r="B55" s="47"/>
      <c r="C55" s="35">
        <f t="shared" ref="C55:H55" si="3">+C31-C51</f>
        <v>-205021.04000000004</v>
      </c>
      <c r="D55" s="35">
        <f t="shared" si="3"/>
        <v>-973486.8200000003</v>
      </c>
      <c r="E55" s="35">
        <f t="shared" si="3"/>
        <v>209094</v>
      </c>
      <c r="F55" s="35">
        <f t="shared" si="3"/>
        <v>-434341</v>
      </c>
      <c r="G55" s="35">
        <f t="shared" si="3"/>
        <v>663606</v>
      </c>
      <c r="H55" s="35">
        <f t="shared" si="3"/>
        <v>243346</v>
      </c>
      <c r="I55" s="132">
        <f>AVERAGE(C55:H55)</f>
        <v>-82800.476666666727</v>
      </c>
    </row>
    <row r="56" spans="1:10" s="33" customFormat="1" ht="13.5" customHeight="1">
      <c r="A56" s="257" t="s">
        <v>209</v>
      </c>
      <c r="B56" s="47"/>
      <c r="C56" s="35">
        <f>+C31-C51-C53-C54</f>
        <v>-1468733.71</v>
      </c>
      <c r="D56" s="35">
        <f t="shared" ref="D56:H56" si="4">+D31-D51-D53-D54</f>
        <v>-1072941.6100000003</v>
      </c>
      <c r="E56" s="35">
        <f t="shared" si="4"/>
        <v>-1466496</v>
      </c>
      <c r="F56" s="35">
        <f t="shared" si="4"/>
        <v>-434341</v>
      </c>
      <c r="G56" s="35">
        <f t="shared" si="4"/>
        <v>453341</v>
      </c>
      <c r="H56" s="35">
        <f t="shared" si="4"/>
        <v>-175839</v>
      </c>
      <c r="I56" s="132">
        <f>AVERAGE(C56:H56)</f>
        <v>-694168.38666666672</v>
      </c>
    </row>
    <row r="57" spans="1:10" s="33" customFormat="1" ht="13.5" customHeight="1">
      <c r="A57" s="257" t="s">
        <v>210</v>
      </c>
      <c r="B57" s="47"/>
      <c r="C57" s="35">
        <f t="shared" ref="C57:H57" si="5">+C11+C12+C13+C31+-C51</f>
        <v>-174499.04000000004</v>
      </c>
      <c r="D57" s="35">
        <f t="shared" si="5"/>
        <v>-940999.8200000003</v>
      </c>
      <c r="E57" s="35">
        <f t="shared" si="5"/>
        <v>212646</v>
      </c>
      <c r="F57" s="35">
        <f t="shared" si="5"/>
        <v>1635</v>
      </c>
      <c r="G57" s="35">
        <f t="shared" si="5"/>
        <v>663606</v>
      </c>
      <c r="H57" s="35">
        <f t="shared" si="5"/>
        <v>332518</v>
      </c>
      <c r="I57" s="132">
        <f>AVERAGE(C57:H57)</f>
        <v>15817.689999999944</v>
      </c>
    </row>
    <row r="58" spans="1:10" s="33" customFormat="1" ht="13.5" customHeight="1">
      <c r="A58" s="257" t="s">
        <v>211</v>
      </c>
      <c r="B58" s="47"/>
      <c r="C58" s="35">
        <f>+C11+C12+C13+C31-C51-C53-C54</f>
        <v>-1438211.71</v>
      </c>
      <c r="D58" s="35">
        <f t="shared" ref="D58:H58" si="6">+D11+D12+D13+D31-D51-D53-D54</f>
        <v>-1040454.6100000003</v>
      </c>
      <c r="E58" s="35">
        <f t="shared" si="6"/>
        <v>-1462944</v>
      </c>
      <c r="F58" s="35">
        <f t="shared" si="6"/>
        <v>1635</v>
      </c>
      <c r="G58" s="35">
        <f t="shared" si="6"/>
        <v>453341</v>
      </c>
      <c r="H58" s="35">
        <f t="shared" si="6"/>
        <v>-86667</v>
      </c>
      <c r="I58" s="132">
        <f>AVERAGE(C58:H58)</f>
        <v>-595550.22000000009</v>
      </c>
      <c r="J58" s="45">
        <f>SUM(C58:E58)</f>
        <v>-3941610.3200000003</v>
      </c>
    </row>
    <row r="59" spans="1:10" ht="13.5" customHeight="1">
      <c r="A59" s="255" t="s">
        <v>206</v>
      </c>
      <c r="B59" s="22"/>
      <c r="C59" s="49"/>
      <c r="D59" s="49"/>
      <c r="E59" s="49"/>
      <c r="F59" s="48"/>
      <c r="G59" s="48"/>
      <c r="H59" s="49"/>
    </row>
    <row r="60" spans="1:10" ht="13.5" customHeight="1">
      <c r="A60" s="254"/>
      <c r="B60" s="36" t="s">
        <v>42</v>
      </c>
      <c r="C60" s="42">
        <v>-563274.31000000006</v>
      </c>
      <c r="D60" s="42">
        <v>-403384.25</v>
      </c>
      <c r="E60" s="27">
        <v>370487</v>
      </c>
      <c r="F60" s="26">
        <v>87909</v>
      </c>
      <c r="G60" s="26">
        <v>182876</v>
      </c>
      <c r="H60" s="27">
        <v>168274</v>
      </c>
      <c r="I60" s="96">
        <f>SUM(C60:H60)/6</f>
        <v>-26185.426666666677</v>
      </c>
    </row>
    <row r="61" spans="1:10" ht="13.5" customHeight="1">
      <c r="A61" s="254"/>
      <c r="B61" s="36" t="s">
        <v>220</v>
      </c>
      <c r="C61" s="42">
        <v>-990036</v>
      </c>
      <c r="D61" s="42">
        <v>-981250.66</v>
      </c>
      <c r="E61" s="27">
        <v>-1212566</v>
      </c>
      <c r="F61" s="26">
        <v>0</v>
      </c>
      <c r="G61" s="26">
        <v>0</v>
      </c>
      <c r="H61" s="27">
        <v>-2041365</v>
      </c>
      <c r="I61" s="96"/>
    </row>
    <row r="62" spans="1:10" ht="13.5" customHeight="1">
      <c r="A62" s="254"/>
      <c r="B62" s="36" t="s">
        <v>43</v>
      </c>
      <c r="C62" s="42">
        <v>0</v>
      </c>
      <c r="D62" s="42">
        <v>0</v>
      </c>
      <c r="E62" s="27">
        <v>0</v>
      </c>
      <c r="F62" s="26">
        <v>11500</v>
      </c>
      <c r="G62" s="26">
        <v>0</v>
      </c>
      <c r="H62" s="27">
        <v>83690</v>
      </c>
      <c r="I62" s="31"/>
    </row>
    <row r="63" spans="1:10" s="51" customFormat="1" ht="13.5" customHeight="1">
      <c r="A63" s="254"/>
      <c r="B63" s="36" t="s">
        <v>44</v>
      </c>
      <c r="C63" s="42">
        <v>2605682.1199999992</v>
      </c>
      <c r="D63" s="42">
        <v>1302440.4799999995</v>
      </c>
      <c r="E63" s="27">
        <v>3256734</v>
      </c>
      <c r="F63" s="26">
        <v>0</v>
      </c>
      <c r="G63" s="26">
        <v>1151545</v>
      </c>
      <c r="H63" s="27">
        <v>576727</v>
      </c>
      <c r="I63" s="117">
        <f>MAX(C60:H60)</f>
        <v>370487</v>
      </c>
    </row>
    <row r="64" spans="1:10" s="33" customFormat="1" ht="13.5" customHeight="1">
      <c r="A64" s="257"/>
      <c r="B64" s="52" t="s">
        <v>46</v>
      </c>
      <c r="C64" s="68">
        <f t="shared" ref="C64:H64" si="7">SUM(C60:C63)</f>
        <v>1052371.8099999991</v>
      </c>
      <c r="D64" s="68">
        <f t="shared" si="7"/>
        <v>-82194.430000000633</v>
      </c>
      <c r="E64" s="68">
        <f t="shared" si="7"/>
        <v>2414655</v>
      </c>
      <c r="F64" s="68">
        <f t="shared" si="7"/>
        <v>99409</v>
      </c>
      <c r="G64" s="68">
        <f t="shared" si="7"/>
        <v>1334421</v>
      </c>
      <c r="H64" s="68">
        <f t="shared" si="7"/>
        <v>-1212674</v>
      </c>
      <c r="I64" s="45">
        <f>MIN(C60:H60)</f>
        <v>-563274.31000000006</v>
      </c>
    </row>
    <row r="65" spans="1:9" s="118" customFormat="1" ht="13.5" customHeight="1">
      <c r="A65" s="263" t="s">
        <v>87</v>
      </c>
      <c r="B65" s="224"/>
      <c r="C65" s="277">
        <f t="shared" ref="C65:H65" si="8">C60/(C51)</f>
        <v>-0.23463402281600657</v>
      </c>
      <c r="D65" s="277">
        <f t="shared" si="8"/>
        <v>-8.689789123672241E-2</v>
      </c>
      <c r="E65" s="277">
        <f t="shared" si="8"/>
        <v>0.17113116821329097</v>
      </c>
      <c r="F65" s="277">
        <f t="shared" si="8"/>
        <v>2.0897830057416793E-2</v>
      </c>
      <c r="G65" s="277">
        <f t="shared" si="8"/>
        <v>2.6395995942364019E-2</v>
      </c>
      <c r="H65" s="277">
        <f t="shared" si="8"/>
        <v>6.0304075544047951E-2</v>
      </c>
      <c r="I65" s="138">
        <f>AVERAGE(C65:H65)</f>
        <v>-7.1338073826015362E-3</v>
      </c>
    </row>
    <row r="66" spans="1:9" s="96" customFormat="1" hidden="1">
      <c r="A66" s="222"/>
      <c r="B66" s="62" t="s">
        <v>88</v>
      </c>
      <c r="C66" s="80">
        <f>+C9+C11+C12+C13+C31-C51-C53-C64-C54</f>
        <v>9.3132257461547852E-10</v>
      </c>
      <c r="D66" s="80">
        <f t="shared" ref="D66:H66" si="9">+D9+D11+D12+D13+D31-D51-D53-D64-D54</f>
        <v>4.3655745685100555E-11</v>
      </c>
      <c r="E66" s="80">
        <f t="shared" si="9"/>
        <v>-1</v>
      </c>
      <c r="F66" s="80">
        <f t="shared" si="9"/>
        <v>0</v>
      </c>
      <c r="G66" s="80">
        <f t="shared" si="9"/>
        <v>2</v>
      </c>
      <c r="H66" s="80">
        <f t="shared" si="9"/>
        <v>0</v>
      </c>
      <c r="I66" s="139">
        <f>MAX(C65:H65)</f>
        <v>0.17113116821329097</v>
      </c>
    </row>
    <row r="67" spans="1:9" hidden="1">
      <c r="A67" s="234"/>
      <c r="B67" s="234"/>
      <c r="C67" s="80">
        <f t="shared" ref="C67:H67" si="10">+C9+C58-C64</f>
        <v>0</v>
      </c>
      <c r="D67" s="80">
        <f t="shared" si="10"/>
        <v>3.4924596548080444E-10</v>
      </c>
      <c r="E67" s="80">
        <f t="shared" si="10"/>
        <v>-1</v>
      </c>
      <c r="F67" s="94">
        <f t="shared" si="10"/>
        <v>0</v>
      </c>
      <c r="G67" s="94">
        <f t="shared" si="10"/>
        <v>2</v>
      </c>
      <c r="H67" s="94">
        <f t="shared" si="10"/>
        <v>0</v>
      </c>
      <c r="I67" s="140">
        <f>MIN(C65:H65)</f>
        <v>-0.23463402281600657</v>
      </c>
    </row>
    <row r="68" spans="1:9">
      <c r="A68" s="234"/>
      <c r="B68" s="234"/>
      <c r="C68" s="80"/>
      <c r="D68" s="80"/>
      <c r="E68" s="80"/>
      <c r="F68" s="94"/>
      <c r="G68" s="94"/>
      <c r="H68" s="94"/>
      <c r="I68" s="140"/>
    </row>
    <row r="69" spans="1:9" ht="12.75" customHeight="1">
      <c r="A69" s="213" t="s">
        <v>199</v>
      </c>
      <c r="B69" s="63"/>
      <c r="C69" s="63"/>
      <c r="D69" s="63"/>
      <c r="E69" s="80"/>
      <c r="F69" s="94"/>
      <c r="G69" s="94"/>
      <c r="H69" s="94"/>
      <c r="I69" s="140"/>
    </row>
    <row r="70" spans="1:9" ht="12.75" customHeight="1">
      <c r="A70" s="210" t="s">
        <v>200</v>
      </c>
      <c r="B70" s="63"/>
      <c r="C70" s="63"/>
      <c r="D70" s="63"/>
      <c r="E70" s="60"/>
    </row>
    <row r="71" spans="1:9" ht="12.75" customHeight="1">
      <c r="A71" s="211" t="s">
        <v>89</v>
      </c>
      <c r="B71" s="63"/>
      <c r="C71" s="63"/>
      <c r="D71" s="63"/>
      <c r="E71" s="60"/>
    </row>
    <row r="72" spans="1:9">
      <c r="A72" s="212"/>
      <c r="B72" s="63"/>
      <c r="C72" s="63"/>
      <c r="D72" s="63"/>
      <c r="E72" s="60"/>
    </row>
    <row r="73" spans="1:9" ht="12.75" customHeight="1">
      <c r="A73" s="210" t="s">
        <v>201</v>
      </c>
      <c r="B73" s="63"/>
      <c r="C73" s="63"/>
      <c r="D73" s="63"/>
      <c r="E73" s="60"/>
    </row>
    <row r="74" spans="1:9" ht="12.75" customHeight="1">
      <c r="A74" s="210" t="s">
        <v>90</v>
      </c>
      <c r="B74" s="63"/>
      <c r="C74" s="63"/>
      <c r="D74" s="63"/>
      <c r="E74" s="60"/>
    </row>
    <row r="75" spans="1:9" ht="12.75" customHeight="1">
      <c r="A75" s="210" t="s">
        <v>91</v>
      </c>
      <c r="B75" s="236"/>
      <c r="C75" s="167"/>
      <c r="D75" s="167"/>
      <c r="E75" s="60"/>
    </row>
    <row r="76" spans="1:9" ht="16.5" customHeight="1">
      <c r="A76" s="159"/>
      <c r="B76" s="159"/>
      <c r="C76" s="159"/>
      <c r="D76" s="159"/>
    </row>
    <row r="77" spans="1:9">
      <c r="A77" s="368"/>
      <c r="B77" s="369"/>
      <c r="C77" s="252"/>
      <c r="D77" s="252"/>
      <c r="E77" s="252"/>
      <c r="F77" s="252"/>
      <c r="G77" s="252"/>
      <c r="H77" s="252"/>
    </row>
    <row r="78" spans="1:9" ht="79.5" customHeight="1">
      <c r="A78" s="370"/>
      <c r="B78" s="371"/>
      <c r="C78" s="251" t="str">
        <f t="shared" ref="C78:H78" si="11">C2</f>
        <v>2nd DAA,         San Joaquin County Fair</v>
      </c>
      <c r="D78" s="251" t="str">
        <f t="shared" si="11"/>
        <v>38th DAA, Stanislaus County Fair</v>
      </c>
      <c r="E78" s="251" t="str">
        <f t="shared" si="11"/>
        <v>46th DAA, Southern California Fair</v>
      </c>
      <c r="F78" s="251" t="str">
        <f t="shared" si="11"/>
        <v>Riverside County Fair &amp; National Date Festival
FY 15/16</v>
      </c>
      <c r="G78" s="251" t="str">
        <f t="shared" si="11"/>
        <v>Santa Clara County Fair</v>
      </c>
      <c r="H78" s="251" t="str">
        <f t="shared" si="11"/>
        <v>Solano County Fair</v>
      </c>
    </row>
    <row r="79" spans="1:9" ht="13.5" customHeight="1">
      <c r="A79" s="255" t="s">
        <v>92</v>
      </c>
      <c r="B79" s="40"/>
      <c r="C79" s="65"/>
      <c r="D79" s="65"/>
      <c r="E79" s="65"/>
      <c r="F79" s="64"/>
      <c r="G79" s="64"/>
      <c r="H79" s="66"/>
    </row>
    <row r="80" spans="1:9" ht="13.5" customHeight="1">
      <c r="A80" s="255" t="s">
        <v>93</v>
      </c>
      <c r="B80" s="40"/>
      <c r="C80" s="65"/>
      <c r="D80" s="65"/>
      <c r="E80" s="65"/>
      <c r="F80" s="64"/>
      <c r="G80" s="64"/>
      <c r="H80" s="66"/>
    </row>
    <row r="81" spans="1:10" ht="13.5" customHeight="1">
      <c r="A81" s="260"/>
      <c r="B81" s="40" t="s">
        <v>94</v>
      </c>
      <c r="C81" s="41"/>
      <c r="D81" s="41"/>
      <c r="E81" s="41"/>
      <c r="F81" s="29"/>
      <c r="G81" s="29"/>
      <c r="H81" s="30"/>
    </row>
    <row r="82" spans="1:10" ht="13.5" customHeight="1">
      <c r="A82" s="260"/>
      <c r="B82" s="40" t="s">
        <v>95</v>
      </c>
      <c r="C82" s="24">
        <v>0</v>
      </c>
      <c r="D82" s="24">
        <v>0</v>
      </c>
      <c r="E82" s="24">
        <v>0</v>
      </c>
      <c r="F82" s="23">
        <v>11500</v>
      </c>
      <c r="G82" s="23">
        <v>0</v>
      </c>
      <c r="H82" s="25">
        <v>0</v>
      </c>
      <c r="J82" s="67">
        <f>SUM(C82:E82)</f>
        <v>0</v>
      </c>
    </row>
    <row r="83" spans="1:10" ht="13.5" customHeight="1">
      <c r="A83" s="260"/>
      <c r="B83" s="40" t="s">
        <v>96</v>
      </c>
      <c r="C83" s="41">
        <v>4327.6200000000008</v>
      </c>
      <c r="D83" s="41">
        <v>210403.34000000003</v>
      </c>
      <c r="E83" s="41">
        <f>376513+1421</f>
        <v>377934</v>
      </c>
      <c r="F83" s="29">
        <v>131839</v>
      </c>
      <c r="G83" s="29">
        <v>801832</v>
      </c>
      <c r="H83" s="30">
        <v>288204</v>
      </c>
      <c r="J83" s="67">
        <f t="shared" ref="J83:J91" si="12">SUM(C83:E83)</f>
        <v>592664.96</v>
      </c>
    </row>
    <row r="84" spans="1:10" ht="13.5" customHeight="1">
      <c r="A84" s="260"/>
      <c r="B84" s="40" t="s">
        <v>97</v>
      </c>
      <c r="C84" s="41">
        <v>103934.48000000001</v>
      </c>
      <c r="D84" s="41">
        <v>40329.399999999994</v>
      </c>
      <c r="E84" s="41">
        <f>160210+10761</f>
        <v>170971</v>
      </c>
      <c r="F84" s="29">
        <v>32033</v>
      </c>
      <c r="G84" s="29">
        <v>332533</v>
      </c>
      <c r="H84" s="30">
        <v>146268</v>
      </c>
      <c r="J84" s="67">
        <f t="shared" si="12"/>
        <v>315234.88</v>
      </c>
    </row>
    <row r="85" spans="1:10" ht="13.5" customHeight="1">
      <c r="A85" s="260"/>
      <c r="B85" s="40" t="s">
        <v>98</v>
      </c>
      <c r="C85" s="41">
        <v>0</v>
      </c>
      <c r="D85" s="41">
        <v>1870</v>
      </c>
      <c r="E85" s="41">
        <v>14963</v>
      </c>
      <c r="F85" s="29">
        <v>0</v>
      </c>
      <c r="G85" s="29">
        <v>103867</v>
      </c>
      <c r="H85" s="30">
        <v>0</v>
      </c>
      <c r="J85" s="67">
        <f t="shared" si="12"/>
        <v>16833</v>
      </c>
    </row>
    <row r="86" spans="1:10" ht="13.5" customHeight="1">
      <c r="A86" s="260"/>
      <c r="B86" s="40" t="s">
        <v>99</v>
      </c>
      <c r="C86" s="41">
        <v>0</v>
      </c>
      <c r="D86" s="41">
        <v>0</v>
      </c>
      <c r="E86" s="41">
        <v>0</v>
      </c>
      <c r="F86" s="29">
        <v>0</v>
      </c>
      <c r="G86" s="29">
        <v>58500</v>
      </c>
      <c r="H86" s="30">
        <v>0</v>
      </c>
      <c r="J86" s="67">
        <f t="shared" si="12"/>
        <v>0</v>
      </c>
    </row>
    <row r="87" spans="1:10" ht="13.5" customHeight="1">
      <c r="A87" s="260"/>
      <c r="B87" s="40" t="s">
        <v>100</v>
      </c>
      <c r="C87" s="41">
        <v>0</v>
      </c>
      <c r="D87" s="41">
        <v>0</v>
      </c>
      <c r="E87" s="41">
        <v>0</v>
      </c>
      <c r="F87" s="29">
        <v>0</v>
      </c>
      <c r="G87" s="29">
        <v>0</v>
      </c>
      <c r="H87" s="30">
        <v>0</v>
      </c>
      <c r="J87" s="67">
        <f t="shared" si="12"/>
        <v>0</v>
      </c>
    </row>
    <row r="88" spans="1:10" ht="13.5" customHeight="1">
      <c r="A88" s="260"/>
      <c r="B88" s="40" t="s">
        <v>101</v>
      </c>
      <c r="C88" s="41">
        <v>248845.76</v>
      </c>
      <c r="D88" s="41">
        <v>72594.05</v>
      </c>
      <c r="E88" s="41">
        <v>450358</v>
      </c>
      <c r="F88" s="29">
        <v>0</v>
      </c>
      <c r="G88" s="29">
        <v>252457</v>
      </c>
      <c r="H88" s="30">
        <v>167085</v>
      </c>
      <c r="J88" s="67">
        <f t="shared" si="12"/>
        <v>771797.81</v>
      </c>
    </row>
    <row r="89" spans="1:10" ht="13.5" customHeight="1">
      <c r="A89" s="260"/>
      <c r="B89" s="40" t="s">
        <v>102</v>
      </c>
      <c r="C89" s="41">
        <v>11714397.189999999</v>
      </c>
      <c r="D89" s="41">
        <v>4105683.86</v>
      </c>
      <c r="E89" s="41">
        <v>12022241</v>
      </c>
      <c r="F89" s="29">
        <v>0</v>
      </c>
      <c r="G89" s="29">
        <v>1470557</v>
      </c>
      <c r="H89" s="30">
        <v>9857905</v>
      </c>
      <c r="J89" s="67">
        <f t="shared" si="12"/>
        <v>27842322.049999997</v>
      </c>
    </row>
    <row r="90" spans="1:10" ht="13.5" customHeight="1">
      <c r="A90" s="260"/>
      <c r="B90" s="40" t="s">
        <v>103</v>
      </c>
      <c r="C90" s="41">
        <v>546324.91</v>
      </c>
      <c r="D90" s="41">
        <v>414527.17</v>
      </c>
      <c r="E90" s="41">
        <v>283615</v>
      </c>
      <c r="F90" s="29">
        <v>0</v>
      </c>
      <c r="G90" s="29">
        <v>1182581</v>
      </c>
      <c r="H90" s="30">
        <v>444971</v>
      </c>
      <c r="J90" s="67">
        <f t="shared" si="12"/>
        <v>1244467.08</v>
      </c>
    </row>
    <row r="91" spans="1:10" ht="13.5" customHeight="1">
      <c r="A91" s="260"/>
      <c r="B91" s="40" t="s">
        <v>104</v>
      </c>
      <c r="C91" s="41">
        <v>0</v>
      </c>
      <c r="D91" s="41">
        <v>0</v>
      </c>
      <c r="E91" s="41">
        <v>0</v>
      </c>
      <c r="F91" s="29">
        <v>0</v>
      </c>
      <c r="G91" s="29">
        <v>0</v>
      </c>
      <c r="H91" s="30">
        <v>0</v>
      </c>
      <c r="J91" s="67">
        <f t="shared" si="12"/>
        <v>0</v>
      </c>
    </row>
    <row r="92" spans="1:10" ht="13.5" customHeight="1">
      <c r="A92" s="260"/>
      <c r="B92" s="40" t="s">
        <v>186</v>
      </c>
      <c r="C92" s="41">
        <v>0</v>
      </c>
      <c r="D92" s="41">
        <v>0</v>
      </c>
      <c r="E92" s="41">
        <v>0</v>
      </c>
      <c r="F92" s="29">
        <v>0</v>
      </c>
      <c r="G92" s="29">
        <v>0</v>
      </c>
      <c r="H92" s="30">
        <v>6000</v>
      </c>
      <c r="J92" s="67">
        <f>SUM(C92:H92)</f>
        <v>6000</v>
      </c>
    </row>
    <row r="93" spans="1:10" ht="13.5" customHeight="1">
      <c r="A93" s="260"/>
      <c r="B93" s="40" t="s">
        <v>105</v>
      </c>
      <c r="C93" s="41">
        <f>-9363560.83-540324.91</f>
        <v>-9903885.7400000002</v>
      </c>
      <c r="D93" s="41">
        <v>-3223129.8499999996</v>
      </c>
      <c r="E93" s="41">
        <f>-8740107-274390</f>
        <v>-9014497</v>
      </c>
      <c r="F93" s="29">
        <v>0</v>
      </c>
      <c r="G93" s="29">
        <f>-794745-807776</f>
        <v>-1602521</v>
      </c>
      <c r="H93" s="30">
        <f>-8978947-427145</f>
        <v>-9406092</v>
      </c>
      <c r="J93" s="31">
        <f>SUM(C88:E93)</f>
        <v>7717074.3500000034</v>
      </c>
    </row>
    <row r="94" spans="1:10" ht="13.5" customHeight="1">
      <c r="A94" s="260"/>
      <c r="B94" s="40" t="s">
        <v>106</v>
      </c>
      <c r="C94" s="41">
        <v>0</v>
      </c>
      <c r="D94" s="41"/>
      <c r="E94" s="41">
        <v>0</v>
      </c>
      <c r="F94" s="29">
        <v>0</v>
      </c>
      <c r="G94" s="29">
        <v>0</v>
      </c>
      <c r="H94" s="30">
        <v>0</v>
      </c>
    </row>
    <row r="95" spans="1:10" ht="13.5" customHeight="1">
      <c r="A95" s="268" t="s">
        <v>107</v>
      </c>
      <c r="B95" s="34"/>
      <c r="C95" s="35">
        <f>SUM(C81:C94)</f>
        <v>2713944.2199999988</v>
      </c>
      <c r="D95" s="35">
        <f t="shared" ref="D95:H95" si="13">SUM(D81:D94)</f>
        <v>1622277.9700000007</v>
      </c>
      <c r="E95" s="35">
        <f t="shared" si="13"/>
        <v>4305585</v>
      </c>
      <c r="F95" s="35">
        <f t="shared" si="13"/>
        <v>175372</v>
      </c>
      <c r="G95" s="35">
        <f t="shared" si="13"/>
        <v>2599806</v>
      </c>
      <c r="H95" s="35">
        <f t="shared" si="13"/>
        <v>1504341</v>
      </c>
      <c r="J95" s="67">
        <f t="shared" ref="J95:J96" si="14">SUM(C95:E95)</f>
        <v>8641807.1899999995</v>
      </c>
    </row>
    <row r="96" spans="1:10" ht="13.5" customHeight="1">
      <c r="A96" s="268" t="s">
        <v>215</v>
      </c>
      <c r="B96" s="34"/>
      <c r="C96" s="35">
        <v>13878</v>
      </c>
      <c r="D96" s="35">
        <v>0</v>
      </c>
      <c r="E96" s="35">
        <v>102629</v>
      </c>
      <c r="F96" s="35">
        <v>0</v>
      </c>
      <c r="G96" s="35">
        <v>0</v>
      </c>
      <c r="H96" s="35">
        <v>109036</v>
      </c>
      <c r="J96" s="67">
        <f t="shared" si="14"/>
        <v>116507</v>
      </c>
    </row>
    <row r="97" spans="1:10" s="56" customFormat="1" ht="13.5" customHeight="1">
      <c r="A97" s="263" t="s">
        <v>212</v>
      </c>
      <c r="B97" s="224"/>
      <c r="C97" s="225">
        <f>+C95+C96</f>
        <v>2727822.2199999988</v>
      </c>
      <c r="D97" s="225">
        <f t="shared" ref="D97:H97" si="15">+D95+D96</f>
        <v>1622277.9700000007</v>
      </c>
      <c r="E97" s="225">
        <f t="shared" si="15"/>
        <v>4408214</v>
      </c>
      <c r="F97" s="225">
        <f t="shared" si="15"/>
        <v>175372</v>
      </c>
      <c r="G97" s="225">
        <f t="shared" si="15"/>
        <v>2599806</v>
      </c>
      <c r="H97" s="225">
        <f t="shared" si="15"/>
        <v>1613377</v>
      </c>
      <c r="J97" s="226">
        <f>SUM(C97:E97)</f>
        <v>8758314.1899999995</v>
      </c>
    </row>
    <row r="98" spans="1:10" ht="13.5" customHeight="1">
      <c r="A98" s="255" t="s">
        <v>213</v>
      </c>
      <c r="B98" s="40"/>
      <c r="C98" s="64"/>
      <c r="D98" s="64"/>
      <c r="E98" s="65"/>
      <c r="F98" s="64"/>
      <c r="G98" s="64"/>
      <c r="H98" s="66"/>
    </row>
    <row r="99" spans="1:10" ht="13.5" customHeight="1">
      <c r="A99" s="260"/>
      <c r="B99" s="40" t="s">
        <v>108</v>
      </c>
      <c r="C99" s="29">
        <v>1515</v>
      </c>
      <c r="D99" s="29">
        <v>0</v>
      </c>
      <c r="E99" s="41">
        <v>0</v>
      </c>
      <c r="F99" s="29">
        <v>0</v>
      </c>
      <c r="G99" s="29">
        <v>2726</v>
      </c>
      <c r="H99" s="30">
        <v>0</v>
      </c>
      <c r="J99" s="67">
        <f t="shared" ref="J99:J111" si="16">SUM(C99:E99)</f>
        <v>1515</v>
      </c>
    </row>
    <row r="100" spans="1:10" ht="13.5" customHeight="1">
      <c r="A100" s="260"/>
      <c r="B100" s="40" t="s">
        <v>109</v>
      </c>
      <c r="C100" s="29">
        <v>378643.1</v>
      </c>
      <c r="D100" s="29">
        <v>131324.03</v>
      </c>
      <c r="E100" s="41">
        <f>109887+19916</f>
        <v>129803</v>
      </c>
      <c r="F100" s="29">
        <v>45834</v>
      </c>
      <c r="G100" s="29">
        <v>301686</v>
      </c>
      <c r="H100" s="30">
        <v>48765</v>
      </c>
      <c r="J100" s="67">
        <f t="shared" si="16"/>
        <v>639770.13</v>
      </c>
    </row>
    <row r="101" spans="1:10" ht="13.5" customHeight="1">
      <c r="A101" s="260"/>
      <c r="B101" s="40" t="s">
        <v>110</v>
      </c>
      <c r="C101" s="29">
        <v>147933.48000000001</v>
      </c>
      <c r="D101" s="29">
        <v>43701.62</v>
      </c>
      <c r="E101" s="41">
        <v>7336</v>
      </c>
      <c r="F101" s="29">
        <v>5369</v>
      </c>
      <c r="G101" s="29">
        <v>110078</v>
      </c>
      <c r="H101" s="30">
        <v>37348</v>
      </c>
      <c r="J101" s="67">
        <f t="shared" si="16"/>
        <v>198971.1</v>
      </c>
    </row>
    <row r="102" spans="1:10" ht="13.5" customHeight="1">
      <c r="A102" s="260"/>
      <c r="B102" s="40" t="s">
        <v>111</v>
      </c>
      <c r="C102" s="29">
        <v>1000</v>
      </c>
      <c r="D102" s="29">
        <v>138300</v>
      </c>
      <c r="E102" s="41">
        <v>10620</v>
      </c>
      <c r="F102" s="29">
        <v>16350</v>
      </c>
      <c r="G102" s="29">
        <v>11569</v>
      </c>
      <c r="H102" s="30">
        <v>10168</v>
      </c>
      <c r="J102" s="67">
        <f t="shared" si="16"/>
        <v>149920</v>
      </c>
    </row>
    <row r="103" spans="1:10" ht="13.5" customHeight="1">
      <c r="A103" s="260"/>
      <c r="B103" s="40" t="s">
        <v>112</v>
      </c>
      <c r="C103" s="29">
        <v>2195.06</v>
      </c>
      <c r="D103" s="29">
        <v>14528.57</v>
      </c>
      <c r="E103" s="41">
        <v>3041</v>
      </c>
      <c r="F103" s="29">
        <v>8411</v>
      </c>
      <c r="G103" s="29">
        <v>184516</v>
      </c>
      <c r="H103" s="30">
        <v>0</v>
      </c>
      <c r="J103" s="67">
        <f t="shared" si="16"/>
        <v>19764.63</v>
      </c>
    </row>
    <row r="104" spans="1:10" ht="13.5" customHeight="1">
      <c r="A104" s="260"/>
      <c r="B104" s="40" t="s">
        <v>113</v>
      </c>
      <c r="C104" s="29">
        <v>14200</v>
      </c>
      <c r="D104" s="29">
        <v>58587.5</v>
      </c>
      <c r="E104" s="41">
        <v>2500</v>
      </c>
      <c r="F104" s="29">
        <v>0</v>
      </c>
      <c r="G104" s="29">
        <v>0</v>
      </c>
      <c r="H104" s="30">
        <v>23194</v>
      </c>
      <c r="J104" s="67">
        <f t="shared" si="16"/>
        <v>75287.5</v>
      </c>
    </row>
    <row r="105" spans="1:10" ht="13.5" customHeight="1">
      <c r="A105" s="260"/>
      <c r="B105" s="40" t="s">
        <v>114</v>
      </c>
      <c r="C105" s="29">
        <v>55680.94</v>
      </c>
      <c r="D105" s="29">
        <v>43461.59</v>
      </c>
      <c r="E105" s="41">
        <v>22421</v>
      </c>
      <c r="F105" s="29">
        <v>0</v>
      </c>
      <c r="G105" s="29">
        <v>207487</v>
      </c>
      <c r="H105" s="30">
        <v>55863</v>
      </c>
      <c r="J105" s="67">
        <f t="shared" si="16"/>
        <v>121563.53</v>
      </c>
    </row>
    <row r="106" spans="1:10" ht="13.5" customHeight="1">
      <c r="A106" s="260"/>
      <c r="B106" s="40" t="s">
        <v>115</v>
      </c>
      <c r="C106" s="29">
        <v>70368.83</v>
      </c>
      <c r="D106" s="29">
        <v>67878.16</v>
      </c>
      <c r="E106" s="41">
        <v>484983</v>
      </c>
      <c r="F106" s="29">
        <v>0</v>
      </c>
      <c r="G106" s="29">
        <v>433933</v>
      </c>
      <c r="H106" s="30">
        <v>487142</v>
      </c>
      <c r="J106" s="67">
        <f t="shared" si="16"/>
        <v>623229.99</v>
      </c>
    </row>
    <row r="107" spans="1:10" ht="13.5" customHeight="1">
      <c r="A107" s="260"/>
      <c r="B107" s="40" t="s">
        <v>218</v>
      </c>
      <c r="C107" s="29">
        <v>913967</v>
      </c>
      <c r="D107" s="29">
        <v>819035.66</v>
      </c>
      <c r="E107" s="41">
        <v>1265241</v>
      </c>
      <c r="F107" s="29">
        <v>0</v>
      </c>
      <c r="G107" s="29">
        <v>0</v>
      </c>
      <c r="H107" s="30">
        <v>1872281</v>
      </c>
      <c r="J107" s="67">
        <f t="shared" si="16"/>
        <v>2998243.66</v>
      </c>
    </row>
    <row r="108" spans="1:10" ht="13.5" customHeight="1">
      <c r="A108" s="268" t="s">
        <v>217</v>
      </c>
      <c r="B108" s="34"/>
      <c r="C108" s="35">
        <f>SUM(C99:C107)</f>
        <v>1585503.4100000001</v>
      </c>
      <c r="D108" s="35">
        <f t="shared" ref="D108:H108" si="17">SUM(D99:D107)</f>
        <v>1316817.1300000001</v>
      </c>
      <c r="E108" s="35">
        <f t="shared" si="17"/>
        <v>1925945</v>
      </c>
      <c r="F108" s="35">
        <f t="shared" si="17"/>
        <v>75964</v>
      </c>
      <c r="G108" s="35">
        <f t="shared" si="17"/>
        <v>1251995</v>
      </c>
      <c r="H108" s="35">
        <f t="shared" si="17"/>
        <v>2534761</v>
      </c>
      <c r="J108" s="67">
        <f t="shared" si="16"/>
        <v>4828265.54</v>
      </c>
    </row>
    <row r="109" spans="1:10" ht="13.5" customHeight="1">
      <c r="A109" s="268" t="s">
        <v>216</v>
      </c>
      <c r="B109" s="34"/>
      <c r="C109" s="35">
        <v>89947</v>
      </c>
      <c r="D109" s="35">
        <v>162215</v>
      </c>
      <c r="E109" s="35">
        <v>49954</v>
      </c>
      <c r="F109" s="35">
        <v>0</v>
      </c>
      <c r="G109" s="35">
        <v>0</v>
      </c>
      <c r="H109" s="35">
        <v>278120</v>
      </c>
      <c r="J109" s="67">
        <f t="shared" si="16"/>
        <v>302116</v>
      </c>
    </row>
    <row r="110" spans="1:10" s="56" customFormat="1" ht="13.5" customHeight="1">
      <c r="A110" s="263" t="s">
        <v>214</v>
      </c>
      <c r="B110" s="224"/>
      <c r="C110" s="225">
        <f>+C108+C109</f>
        <v>1675450.4100000001</v>
      </c>
      <c r="D110" s="225">
        <f t="shared" ref="D110:H110" si="18">+D108+D109</f>
        <v>1479032.1300000001</v>
      </c>
      <c r="E110" s="225">
        <f t="shared" si="18"/>
        <v>1975899</v>
      </c>
      <c r="F110" s="225">
        <f t="shared" si="18"/>
        <v>75964</v>
      </c>
      <c r="G110" s="225">
        <f t="shared" si="18"/>
        <v>1251995</v>
      </c>
      <c r="H110" s="225">
        <f t="shared" si="18"/>
        <v>2812881</v>
      </c>
      <c r="J110" s="226">
        <f t="shared" si="16"/>
        <v>5130381.54</v>
      </c>
    </row>
    <row r="111" spans="1:10" ht="13.5" customHeight="1">
      <c r="A111" s="255" t="s">
        <v>116</v>
      </c>
      <c r="B111" s="40"/>
      <c r="C111" s="64"/>
      <c r="D111" s="64"/>
      <c r="E111" s="65"/>
      <c r="F111" s="64"/>
      <c r="G111" s="64"/>
      <c r="H111" s="66" t="s">
        <v>179</v>
      </c>
      <c r="J111" s="67">
        <f t="shared" si="16"/>
        <v>0</v>
      </c>
    </row>
    <row r="112" spans="1:10" ht="13.5" customHeight="1">
      <c r="A112" s="260"/>
      <c r="B112" s="40" t="s">
        <v>117</v>
      </c>
      <c r="C112" s="29">
        <v>0</v>
      </c>
      <c r="D112" s="29">
        <v>225440.27</v>
      </c>
      <c r="E112" s="41">
        <v>17664</v>
      </c>
      <c r="F112" s="29">
        <v>0</v>
      </c>
      <c r="G112" s="29">
        <v>13389</v>
      </c>
      <c r="H112" s="30">
        <v>13170</v>
      </c>
      <c r="J112" s="67">
        <f>SUM(C112:E112)</f>
        <v>243104.27</v>
      </c>
    </row>
    <row r="113" spans="1:10" ht="13.5" customHeight="1">
      <c r="A113" s="260"/>
      <c r="B113" s="40" t="s">
        <v>42</v>
      </c>
      <c r="C113" s="29">
        <f>C60</f>
        <v>-563274.31000000006</v>
      </c>
      <c r="D113" s="29">
        <f t="shared" ref="D113:H113" si="19">D60</f>
        <v>-403384.25</v>
      </c>
      <c r="E113" s="29">
        <f t="shared" si="19"/>
        <v>370487</v>
      </c>
      <c r="F113" s="29">
        <f t="shared" si="19"/>
        <v>87909</v>
      </c>
      <c r="G113" s="29">
        <f t="shared" si="19"/>
        <v>182876</v>
      </c>
      <c r="H113" s="29">
        <f t="shared" si="19"/>
        <v>168274</v>
      </c>
      <c r="J113" s="67">
        <f t="shared" ref="J113:J119" si="20">SUM(C113:E113)</f>
        <v>-596171.56000000006</v>
      </c>
    </row>
    <row r="114" spans="1:10" ht="13.5" customHeight="1">
      <c r="A114" s="260"/>
      <c r="B114" s="40" t="s">
        <v>220</v>
      </c>
      <c r="C114" s="29">
        <f t="shared" ref="C114:H116" si="21">C61</f>
        <v>-990036</v>
      </c>
      <c r="D114" s="29">
        <f t="shared" si="21"/>
        <v>-981250.66</v>
      </c>
      <c r="E114" s="29">
        <f t="shared" si="21"/>
        <v>-1212566</v>
      </c>
      <c r="F114" s="29">
        <f t="shared" si="21"/>
        <v>0</v>
      </c>
      <c r="G114" s="29">
        <f t="shared" si="21"/>
        <v>0</v>
      </c>
      <c r="H114" s="29">
        <f t="shared" si="21"/>
        <v>-2041365</v>
      </c>
      <c r="J114" s="67">
        <f t="shared" si="20"/>
        <v>-3183852.66</v>
      </c>
    </row>
    <row r="115" spans="1:10" ht="13.5" customHeight="1">
      <c r="A115" s="260"/>
      <c r="B115" s="40" t="s">
        <v>43</v>
      </c>
      <c r="C115" s="29">
        <f t="shared" si="21"/>
        <v>0</v>
      </c>
      <c r="D115" s="29">
        <f t="shared" si="21"/>
        <v>0</v>
      </c>
      <c r="E115" s="29">
        <f t="shared" si="21"/>
        <v>0</v>
      </c>
      <c r="F115" s="29">
        <f t="shared" si="21"/>
        <v>11500</v>
      </c>
      <c r="G115" s="29">
        <f t="shared" si="21"/>
        <v>0</v>
      </c>
      <c r="H115" s="29">
        <f t="shared" si="21"/>
        <v>83690</v>
      </c>
      <c r="J115" s="67">
        <f t="shared" si="20"/>
        <v>0</v>
      </c>
    </row>
    <row r="116" spans="1:10" ht="13.5" customHeight="1">
      <c r="A116" s="260"/>
      <c r="B116" s="40" t="s">
        <v>118</v>
      </c>
      <c r="C116" s="29">
        <f t="shared" si="21"/>
        <v>2605682.1199999992</v>
      </c>
      <c r="D116" s="29">
        <f t="shared" si="21"/>
        <v>1302440.4799999995</v>
      </c>
      <c r="E116" s="29">
        <f t="shared" si="21"/>
        <v>3256734</v>
      </c>
      <c r="F116" s="29">
        <f t="shared" si="21"/>
        <v>0</v>
      </c>
      <c r="G116" s="29">
        <f t="shared" si="21"/>
        <v>1151545</v>
      </c>
      <c r="H116" s="29">
        <f t="shared" si="21"/>
        <v>576727</v>
      </c>
      <c r="J116" s="67">
        <f t="shared" si="20"/>
        <v>7164856.5999999987</v>
      </c>
    </row>
    <row r="117" spans="1:10" ht="13.5" customHeight="1">
      <c r="A117" s="269"/>
      <c r="B117" s="71" t="s">
        <v>106</v>
      </c>
      <c r="C117" s="72"/>
      <c r="D117" s="72"/>
      <c r="E117" s="73">
        <v>-4</v>
      </c>
      <c r="F117" s="72">
        <v>-1</v>
      </c>
      <c r="G117" s="72">
        <v>0</v>
      </c>
      <c r="H117" s="74"/>
      <c r="J117" s="67">
        <f t="shared" si="20"/>
        <v>-4</v>
      </c>
    </row>
    <row r="118" spans="1:10" s="33" customFormat="1" ht="13.5" customHeight="1">
      <c r="A118" s="268" t="s">
        <v>46</v>
      </c>
      <c r="B118" s="75"/>
      <c r="C118" s="76">
        <f t="shared" ref="C118" si="22">SUM(C112:C117)</f>
        <v>1052371.8099999991</v>
      </c>
      <c r="D118" s="76">
        <f t="shared" ref="D118:H118" si="23">SUM(D112:D117)</f>
        <v>143245.83999999939</v>
      </c>
      <c r="E118" s="76">
        <f t="shared" si="23"/>
        <v>2432315</v>
      </c>
      <c r="F118" s="76">
        <f t="shared" si="23"/>
        <v>99408</v>
      </c>
      <c r="G118" s="76">
        <f t="shared" si="23"/>
        <v>1347810</v>
      </c>
      <c r="H118" s="76">
        <f t="shared" si="23"/>
        <v>-1199504</v>
      </c>
      <c r="J118" s="67">
        <f t="shared" si="20"/>
        <v>3627932.6499999985</v>
      </c>
    </row>
    <row r="119" spans="1:10" s="56" customFormat="1">
      <c r="A119" s="263" t="s">
        <v>219</v>
      </c>
      <c r="B119" s="224"/>
      <c r="C119" s="225">
        <f t="shared" ref="C119" si="24">SUM(C110:C117)</f>
        <v>2727822.2199999993</v>
      </c>
      <c r="D119" s="225">
        <f t="shared" ref="D119:H119" si="25">SUM(D110:D117)</f>
        <v>1622277.9699999997</v>
      </c>
      <c r="E119" s="225">
        <f t="shared" si="25"/>
        <v>4408214</v>
      </c>
      <c r="F119" s="225">
        <f t="shared" si="25"/>
        <v>175372</v>
      </c>
      <c r="G119" s="225">
        <f t="shared" si="25"/>
        <v>2599805</v>
      </c>
      <c r="H119" s="225">
        <f t="shared" si="25"/>
        <v>1613377</v>
      </c>
      <c r="J119" s="226">
        <f t="shared" si="20"/>
        <v>8758314.1899999995</v>
      </c>
    </row>
    <row r="120" spans="1:10" hidden="1">
      <c r="A120" s="79"/>
      <c r="B120" s="70" t="s">
        <v>88</v>
      </c>
      <c r="C120" s="119">
        <f t="shared" ref="C120:G120" si="26">+C97-C119</f>
        <v>0</v>
      </c>
      <c r="D120" s="119">
        <f t="shared" si="26"/>
        <v>0</v>
      </c>
      <c r="E120" s="119">
        <f t="shared" si="26"/>
        <v>0</v>
      </c>
      <c r="F120" s="119">
        <f t="shared" si="26"/>
        <v>0</v>
      </c>
      <c r="G120" s="119">
        <f t="shared" si="26"/>
        <v>1</v>
      </c>
      <c r="H120" s="244">
        <f>+H97-H119</f>
        <v>0</v>
      </c>
    </row>
    <row r="121" spans="1:10">
      <c r="A121" s="70"/>
      <c r="B121" s="101"/>
      <c r="C121" s="102"/>
      <c r="D121" s="102"/>
      <c r="E121" s="102"/>
      <c r="F121" s="102"/>
      <c r="G121" s="102"/>
      <c r="H121" s="102"/>
    </row>
    <row r="122" spans="1:10" ht="39.75" customHeight="1">
      <c r="A122" s="360" t="s">
        <v>119</v>
      </c>
      <c r="B122" s="361"/>
      <c r="C122" s="354">
        <f t="shared" ref="C122:H122" si="27">C55/(C31)</f>
        <v>-9.3376880509037807E-2</v>
      </c>
      <c r="D122" s="372">
        <f t="shared" si="27"/>
        <v>-0.2653592417449589</v>
      </c>
      <c r="E122" s="354">
        <f t="shared" si="27"/>
        <v>8.8075773454691281E-2</v>
      </c>
      <c r="F122" s="354">
        <f t="shared" si="27"/>
        <v>-0.11514054674800411</v>
      </c>
      <c r="G122" s="354">
        <f t="shared" si="27"/>
        <v>8.7411144003420538E-2</v>
      </c>
      <c r="H122" s="354">
        <f t="shared" si="27"/>
        <v>8.0212382543046259E-2</v>
      </c>
    </row>
    <row r="123" spans="1:10" ht="24">
      <c r="A123" s="257"/>
      <c r="B123" s="299" t="s">
        <v>120</v>
      </c>
      <c r="C123" s="354"/>
      <c r="D123" s="373"/>
      <c r="E123" s="354"/>
      <c r="F123" s="354"/>
      <c r="G123" s="354"/>
      <c r="H123" s="354"/>
    </row>
    <row r="124" spans="1:10" ht="14.25">
      <c r="A124" s="300" t="s">
        <v>194</v>
      </c>
      <c r="B124" s="301"/>
      <c r="C124" s="351">
        <f t="shared" ref="C124:H124" si="28">(SUM(C83:C84))/SUM(C99:C104)</f>
        <v>0.19846883876019403</v>
      </c>
      <c r="D124" s="351">
        <f t="shared" si="28"/>
        <v>0.6488242004512349</v>
      </c>
      <c r="E124" s="351">
        <f t="shared" si="28"/>
        <v>3.5805936073059361</v>
      </c>
      <c r="F124" s="351">
        <f t="shared" si="28"/>
        <v>2.1572323732294243</v>
      </c>
      <c r="G124" s="351">
        <f t="shared" si="28"/>
        <v>1.8578634893338246</v>
      </c>
      <c r="H124" s="351">
        <f t="shared" si="28"/>
        <v>3.6365097300690521</v>
      </c>
    </row>
    <row r="125" spans="1:10" ht="36">
      <c r="A125" s="302"/>
      <c r="B125" s="303" t="s">
        <v>195</v>
      </c>
      <c r="C125" s="352"/>
      <c r="D125" s="352"/>
      <c r="E125" s="352"/>
      <c r="F125" s="352"/>
      <c r="G125" s="352"/>
      <c r="H125" s="352"/>
    </row>
    <row r="126" spans="1:10" ht="14.25">
      <c r="A126" s="300" t="s">
        <v>196</v>
      </c>
      <c r="B126" s="301"/>
      <c r="C126" s="351">
        <f t="shared" ref="C126:H126" si="29">(SUM(C83:C84))/SUM(C99:C105)</f>
        <v>0.18008639121890105</v>
      </c>
      <c r="D126" s="351">
        <f t="shared" si="29"/>
        <v>0.58323054083952042</v>
      </c>
      <c r="E126" s="351">
        <f t="shared" si="29"/>
        <v>3.1237302314464408</v>
      </c>
      <c r="F126" s="351">
        <f t="shared" si="29"/>
        <v>2.1572323732294243</v>
      </c>
      <c r="G126" s="351">
        <f t="shared" si="29"/>
        <v>1.3866491781796491</v>
      </c>
      <c r="H126" s="351">
        <f t="shared" si="29"/>
        <v>2.4779112343017484</v>
      </c>
    </row>
    <row r="127" spans="1:10" ht="24">
      <c r="A127" s="302"/>
      <c r="B127" s="303" t="s">
        <v>197</v>
      </c>
      <c r="C127" s="352"/>
      <c r="D127" s="352"/>
      <c r="E127" s="352"/>
      <c r="F127" s="352"/>
      <c r="G127" s="352"/>
      <c r="H127" s="352"/>
    </row>
    <row r="128" spans="1:10" s="173" customFormat="1" ht="8.1" customHeight="1">
      <c r="A128" s="174"/>
      <c r="B128" s="175"/>
      <c r="C128" s="176"/>
      <c r="D128" s="176"/>
      <c r="E128" s="176"/>
      <c r="F128" s="176"/>
      <c r="G128" s="176"/>
      <c r="H128" s="177"/>
    </row>
    <row r="129" spans="1:9">
      <c r="A129" s="304" t="s">
        <v>121</v>
      </c>
      <c r="B129" s="75"/>
      <c r="C129" s="353">
        <f t="shared" ref="C129:H129" si="30">C110/C97</f>
        <v>0.61420806594940081</v>
      </c>
      <c r="D129" s="381">
        <f t="shared" si="30"/>
        <v>0.91170080427092248</v>
      </c>
      <c r="E129" s="353">
        <f t="shared" si="30"/>
        <v>0.4482311884132667</v>
      </c>
      <c r="F129" s="353">
        <f t="shared" si="30"/>
        <v>0.43315922724266132</v>
      </c>
      <c r="G129" s="353">
        <f t="shared" si="30"/>
        <v>0.48157247117669549</v>
      </c>
      <c r="H129" s="353">
        <f t="shared" si="30"/>
        <v>1.7434740919202394</v>
      </c>
    </row>
    <row r="130" spans="1:9" ht="25.5">
      <c r="A130" s="257"/>
      <c r="B130" s="305" t="s">
        <v>122</v>
      </c>
      <c r="C130" s="353"/>
      <c r="D130" s="382"/>
      <c r="E130" s="353"/>
      <c r="F130" s="353"/>
      <c r="G130" s="353"/>
      <c r="H130" s="353"/>
    </row>
    <row r="131" spans="1:9">
      <c r="A131" s="304" t="s">
        <v>123</v>
      </c>
      <c r="B131" s="306"/>
      <c r="C131" s="353">
        <f t="shared" ref="C131:H131" si="31">C118/C97</f>
        <v>0.38579193405059936</v>
      </c>
      <c r="D131" s="381">
        <f t="shared" si="31"/>
        <v>8.8299195729076768E-2</v>
      </c>
      <c r="E131" s="353">
        <f t="shared" si="31"/>
        <v>0.5517688115867333</v>
      </c>
      <c r="F131" s="353">
        <f t="shared" si="31"/>
        <v>0.56684077275733868</v>
      </c>
      <c r="G131" s="353">
        <f t="shared" si="31"/>
        <v>0.51842714417921953</v>
      </c>
      <c r="H131" s="353">
        <f t="shared" si="31"/>
        <v>-0.74347409192023939</v>
      </c>
    </row>
    <row r="132" spans="1:9" ht="24">
      <c r="A132" s="257"/>
      <c r="B132" s="299" t="s">
        <v>124</v>
      </c>
      <c r="C132" s="353"/>
      <c r="D132" s="382"/>
      <c r="E132" s="353"/>
      <c r="F132" s="353"/>
      <c r="G132" s="353"/>
      <c r="H132" s="353"/>
    </row>
    <row r="133" spans="1:9">
      <c r="A133" s="362" t="s">
        <v>125</v>
      </c>
      <c r="B133" s="363"/>
      <c r="C133" s="353">
        <f t="shared" ref="C133:H133" si="32">C110/C118</f>
        <v>1.5920707815235011</v>
      </c>
      <c r="D133" s="381">
        <f t="shared" si="32"/>
        <v>10.32513146629603</v>
      </c>
      <c r="E133" s="353">
        <f t="shared" si="32"/>
        <v>0.8123532519431077</v>
      </c>
      <c r="F133" s="353">
        <f t="shared" si="32"/>
        <v>0.7641638499919523</v>
      </c>
      <c r="G133" s="353">
        <f t="shared" si="32"/>
        <v>0.92891060312655349</v>
      </c>
      <c r="H133" s="353">
        <f t="shared" si="32"/>
        <v>-2.3450367818698394</v>
      </c>
    </row>
    <row r="134" spans="1:9">
      <c r="A134" s="257"/>
      <c r="B134" s="299" t="s">
        <v>126</v>
      </c>
      <c r="C134" s="353"/>
      <c r="D134" s="382"/>
      <c r="E134" s="353"/>
      <c r="F134" s="353"/>
      <c r="G134" s="353"/>
      <c r="H134" s="353"/>
    </row>
    <row r="135" spans="1:9" s="173" customFormat="1" ht="8.1" customHeight="1">
      <c r="A135" s="178"/>
      <c r="B135" s="179"/>
      <c r="C135" s="192"/>
      <c r="D135" s="192"/>
      <c r="E135" s="192"/>
      <c r="F135" s="192"/>
      <c r="G135" s="192"/>
      <c r="H135" s="193"/>
    </row>
    <row r="136" spans="1:9">
      <c r="A136" s="268" t="s">
        <v>127</v>
      </c>
      <c r="B136" s="34"/>
      <c r="C136" s="128">
        <v>6</v>
      </c>
      <c r="D136" s="128">
        <v>6</v>
      </c>
      <c r="E136" s="128">
        <v>12</v>
      </c>
      <c r="F136" s="81">
        <v>7</v>
      </c>
      <c r="G136" s="81">
        <v>36</v>
      </c>
      <c r="H136" s="81">
        <v>11</v>
      </c>
      <c r="I136" s="135">
        <f>AVERAGE(C136:H136)</f>
        <v>13</v>
      </c>
    </row>
    <row r="137" spans="1:9" s="173" customFormat="1" ht="8.1" customHeight="1">
      <c r="A137" s="184"/>
      <c r="B137" s="179"/>
      <c r="C137" s="192"/>
      <c r="D137" s="192"/>
      <c r="E137" s="192"/>
      <c r="F137" s="192"/>
      <c r="G137" s="192"/>
      <c r="H137" s="193"/>
    </row>
    <row r="138" spans="1:9">
      <c r="A138" s="307" t="s">
        <v>128</v>
      </c>
      <c r="B138" s="307"/>
      <c r="C138" s="195">
        <v>31724</v>
      </c>
      <c r="D138" s="195">
        <v>108457</v>
      </c>
      <c r="E138" s="195">
        <v>44260</v>
      </c>
      <c r="F138" s="186">
        <v>120266</v>
      </c>
      <c r="G138" s="186">
        <v>31129</v>
      </c>
      <c r="H138" s="186">
        <v>21788</v>
      </c>
      <c r="I138" s="132">
        <f>AVERAGE(C138:H138)</f>
        <v>59604</v>
      </c>
    </row>
    <row r="139" spans="1:9">
      <c r="A139" s="307" t="s">
        <v>129</v>
      </c>
      <c r="B139" s="307"/>
      <c r="C139" s="195">
        <v>7999</v>
      </c>
      <c r="D139" s="195">
        <v>32868</v>
      </c>
      <c r="E139" s="195">
        <v>8842</v>
      </c>
      <c r="F139" s="186">
        <v>57475</v>
      </c>
      <c r="G139" s="186">
        <v>5500</v>
      </c>
      <c r="H139" s="186">
        <v>19248</v>
      </c>
      <c r="I139" s="132">
        <f>AVERAGE(C139:H139)</f>
        <v>21988.666666666668</v>
      </c>
    </row>
    <row r="140" spans="1:9">
      <c r="A140" s="307" t="s">
        <v>130</v>
      </c>
      <c r="B140" s="307"/>
      <c r="C140" s="195">
        <v>39723</v>
      </c>
      <c r="D140" s="195">
        <v>141325</v>
      </c>
      <c r="E140" s="195">
        <v>53102</v>
      </c>
      <c r="F140" s="186">
        <v>177741</v>
      </c>
      <c r="G140" s="186">
        <v>36629</v>
      </c>
      <c r="H140" s="186">
        <v>41036</v>
      </c>
      <c r="I140" s="132">
        <f>AVERAGE(C140:H140)</f>
        <v>81592.666666666672</v>
      </c>
    </row>
  </sheetData>
  <mergeCells count="46">
    <mergeCell ref="A1:B3"/>
    <mergeCell ref="C2:C3"/>
    <mergeCell ref="D2:D3"/>
    <mergeCell ref="E2:E3"/>
    <mergeCell ref="H2:H3"/>
    <mergeCell ref="F2:F3"/>
    <mergeCell ref="G2:G3"/>
    <mergeCell ref="A122:B122"/>
    <mergeCell ref="A77:B78"/>
    <mergeCell ref="A133:B133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F122:F123"/>
    <mergeCell ref="G122:G123"/>
    <mergeCell ref="H122:H123"/>
    <mergeCell ref="D124:D125"/>
    <mergeCell ref="E124:E125"/>
    <mergeCell ref="F124:F125"/>
    <mergeCell ref="G124:G125"/>
    <mergeCell ref="H124:H125"/>
    <mergeCell ref="D126:D127"/>
    <mergeCell ref="E126:E127"/>
    <mergeCell ref="F126:F127"/>
    <mergeCell ref="G126:G127"/>
    <mergeCell ref="H126:H127"/>
    <mergeCell ref="D129:D130"/>
    <mergeCell ref="E129:E130"/>
    <mergeCell ref="F129:F130"/>
    <mergeCell ref="G129:G130"/>
    <mergeCell ref="H129:H130"/>
    <mergeCell ref="D131:D132"/>
    <mergeCell ref="E131:E132"/>
    <mergeCell ref="F131:F132"/>
    <mergeCell ref="G131:G132"/>
    <mergeCell ref="H131:H132"/>
    <mergeCell ref="D133:D134"/>
    <mergeCell ref="E133:E134"/>
    <mergeCell ref="F133:F134"/>
    <mergeCell ref="G133:G134"/>
    <mergeCell ref="H133:H134"/>
  </mergeCells>
  <conditionalFormatting sqref="C122:C123 E122:H123">
    <cfRule type="cellIs" dxfId="17" priority="4" operator="lessThan">
      <formula>0</formula>
    </cfRule>
  </conditionalFormatting>
  <conditionalFormatting sqref="C65 E65:H65">
    <cfRule type="cellIs" dxfId="16" priority="3" operator="lessThan">
      <formula>0</formula>
    </cfRule>
  </conditionalFormatting>
  <conditionalFormatting sqref="D122:D123">
    <cfRule type="cellIs" dxfId="15" priority="2" operator="lessThan">
      <formula>0</formula>
    </cfRule>
  </conditionalFormatting>
  <conditionalFormatting sqref="D65">
    <cfRule type="cellIs" dxfId="14" priority="1" operator="lessThan">
      <formula>0</formula>
    </cfRule>
  </conditionalFormatting>
  <printOptions horizontalCentered="1"/>
  <pageMargins left="0.5" right="0.5" top="0.75" bottom="0.35" header="0.5" footer="0.15"/>
  <pageSetup scale="66" fitToHeight="2" orientation="portrait" r:id="rId1"/>
  <headerFooter alignWithMargins="0">
    <oddHeader>&amp;C&amp;"Arial,Bold"&amp;14CLASS IV+ FAIRS</oddHeader>
    <oddFooter xml:space="preserve">&amp;CFairs and Expositions&amp;R
</oddFooter>
  </headerFooter>
  <rowBreaks count="1" manualBreakCount="1">
    <brk id="76" max="7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4"/>
  <sheetViews>
    <sheetView view="pageBreakPreview" zoomScale="85" zoomScaleNormal="100" zoomScaleSheetLayoutView="85" workbookViewId="0">
      <selection activeCell="F5" sqref="F5"/>
    </sheetView>
  </sheetViews>
  <sheetFormatPr defaultRowHeight="12.75"/>
  <cols>
    <col min="1" max="1" width="4.7109375" style="20" customWidth="1"/>
    <col min="2" max="2" width="56.42578125" style="20" customWidth="1"/>
    <col min="3" max="6" width="12.7109375" style="60" customWidth="1"/>
    <col min="7" max="7" width="11.28515625" style="20" bestFit="1" customWidth="1"/>
    <col min="8" max="8" width="12.7109375" style="20" customWidth="1"/>
    <col min="9" max="16384" width="9.140625" style="20"/>
  </cols>
  <sheetData>
    <row r="1" spans="1:14" ht="12" customHeight="1">
      <c r="A1" s="356"/>
      <c r="B1" s="357"/>
      <c r="C1" s="252"/>
      <c r="D1" s="252"/>
      <c r="E1" s="252"/>
      <c r="F1" s="252"/>
    </row>
    <row r="2" spans="1:14" ht="12" customHeight="1">
      <c r="A2" s="374"/>
      <c r="B2" s="375"/>
      <c r="C2" s="367" t="s">
        <v>180</v>
      </c>
      <c r="D2" s="367" t="s">
        <v>181</v>
      </c>
      <c r="E2" s="367" t="s">
        <v>229</v>
      </c>
      <c r="F2" s="367" t="s">
        <v>202</v>
      </c>
    </row>
    <row r="3" spans="1:14" ht="69" customHeight="1">
      <c r="A3" s="374"/>
      <c r="B3" s="375"/>
      <c r="C3" s="367"/>
      <c r="D3" s="367"/>
      <c r="E3" s="367"/>
      <c r="F3" s="367"/>
      <c r="H3" s="20" t="s">
        <v>41</v>
      </c>
    </row>
    <row r="4" spans="1:14" ht="13.5" customHeight="1">
      <c r="A4" s="312" t="s">
        <v>205</v>
      </c>
      <c r="B4" s="312"/>
      <c r="C4" s="50"/>
      <c r="D4" s="50"/>
      <c r="E4" s="50"/>
      <c r="F4" s="50"/>
      <c r="G4" s="65"/>
      <c r="H4" s="65"/>
      <c r="I4" s="65"/>
      <c r="J4" s="65"/>
      <c r="K4" s="65"/>
      <c r="L4" s="65"/>
      <c r="M4" s="65"/>
      <c r="N4" s="65"/>
    </row>
    <row r="5" spans="1:14" ht="13.5" customHeight="1">
      <c r="A5" s="260"/>
      <c r="B5" s="36" t="s">
        <v>42</v>
      </c>
      <c r="C5" s="249">
        <v>490856</v>
      </c>
      <c r="D5" s="249">
        <v>-202941</v>
      </c>
      <c r="E5" s="249">
        <v>216767.29</v>
      </c>
      <c r="F5" s="249">
        <v>2322087</v>
      </c>
    </row>
    <row r="6" spans="1:14" ht="13.5" customHeight="1">
      <c r="A6" s="260"/>
      <c r="B6" s="28" t="s">
        <v>43</v>
      </c>
      <c r="C6" s="30">
        <v>0</v>
      </c>
      <c r="D6" s="30">
        <v>0</v>
      </c>
      <c r="E6" s="30">
        <v>0</v>
      </c>
      <c r="F6" s="30">
        <v>0</v>
      </c>
    </row>
    <row r="7" spans="1:14" ht="13.5" customHeight="1">
      <c r="A7" s="260"/>
      <c r="B7" s="22" t="s">
        <v>44</v>
      </c>
      <c r="C7" s="30">
        <v>1866825</v>
      </c>
      <c r="D7" s="30">
        <v>2522931</v>
      </c>
      <c r="E7" s="30">
        <v>25454958.59</v>
      </c>
      <c r="F7" s="30">
        <v>3871319</v>
      </c>
    </row>
    <row r="8" spans="1:14" ht="13.5" customHeight="1">
      <c r="A8" s="260"/>
      <c r="B8" s="22" t="s">
        <v>45</v>
      </c>
      <c r="C8" s="30">
        <v>0</v>
      </c>
      <c r="D8" s="30">
        <v>-873</v>
      </c>
      <c r="E8" s="30">
        <v>0</v>
      </c>
      <c r="F8" s="30"/>
      <c r="H8" s="31">
        <f>SUM(C8:E8)</f>
        <v>-873</v>
      </c>
    </row>
    <row r="9" spans="1:14" s="33" customFormat="1" ht="13.5" customHeight="1" thickBot="1">
      <c r="A9" s="259"/>
      <c r="B9" s="115" t="s">
        <v>46</v>
      </c>
      <c r="C9" s="78">
        <f>SUM(C5:C8)</f>
        <v>2357681</v>
      </c>
      <c r="D9" s="78">
        <f>SUM(D5:D8)</f>
        <v>2319117</v>
      </c>
      <c r="E9" s="78">
        <f>SUM(E5:E8)</f>
        <v>25671725.879999999</v>
      </c>
      <c r="F9" s="78">
        <f>SUM(F5:F8)</f>
        <v>6193406</v>
      </c>
      <c r="H9" s="31">
        <f>SUM(C9:E9)</f>
        <v>30348523.879999999</v>
      </c>
    </row>
    <row r="10" spans="1:14" s="33" customFormat="1" ht="13.5" customHeight="1">
      <c r="A10" s="257" t="s">
        <v>47</v>
      </c>
      <c r="B10" s="47"/>
      <c r="C10" s="53"/>
      <c r="D10" s="53"/>
      <c r="E10" s="53"/>
      <c r="F10" s="35"/>
    </row>
    <row r="11" spans="1:14" s="33" customFormat="1" ht="13.5" customHeight="1">
      <c r="A11" s="258"/>
      <c r="B11" s="34" t="s">
        <v>48</v>
      </c>
      <c r="C11" s="35">
        <v>0</v>
      </c>
      <c r="D11" s="35">
        <v>0</v>
      </c>
      <c r="E11" s="35">
        <v>0</v>
      </c>
      <c r="F11" s="35">
        <v>0</v>
      </c>
      <c r="H11" s="31">
        <f>SUM(C11:E11)</f>
        <v>0</v>
      </c>
    </row>
    <row r="12" spans="1:14" s="33" customFormat="1" ht="13.5" customHeight="1">
      <c r="A12" s="258"/>
      <c r="B12" s="34" t="s">
        <v>49</v>
      </c>
      <c r="C12" s="35">
        <v>0</v>
      </c>
      <c r="D12" s="35">
        <v>0</v>
      </c>
      <c r="E12" s="35">
        <v>0</v>
      </c>
      <c r="F12" s="35">
        <v>0</v>
      </c>
      <c r="H12" s="31">
        <f>SUM(C12:E12)</f>
        <v>0</v>
      </c>
    </row>
    <row r="13" spans="1:14" s="33" customFormat="1" ht="13.5" customHeight="1" thickBot="1">
      <c r="A13" s="259"/>
      <c r="B13" s="43" t="s">
        <v>50</v>
      </c>
      <c r="C13" s="44">
        <v>0</v>
      </c>
      <c r="D13" s="44">
        <v>0</v>
      </c>
      <c r="E13" s="44">
        <v>0</v>
      </c>
      <c r="F13" s="44">
        <v>0</v>
      </c>
      <c r="H13" s="31">
        <f>SUM(C13:E13)</f>
        <v>0</v>
      </c>
    </row>
    <row r="14" spans="1:14" ht="13.5" customHeight="1">
      <c r="A14" s="254" t="s">
        <v>51</v>
      </c>
      <c r="B14" s="36"/>
      <c r="C14" s="39"/>
      <c r="D14" s="39"/>
      <c r="E14" s="39"/>
      <c r="F14" s="39"/>
    </row>
    <row r="15" spans="1:14" ht="13.5" customHeight="1">
      <c r="A15" s="260"/>
      <c r="B15" s="40" t="s">
        <v>52</v>
      </c>
      <c r="C15" s="30">
        <v>370457</v>
      </c>
      <c r="D15" s="30">
        <v>1721601</v>
      </c>
      <c r="E15" s="30">
        <v>0</v>
      </c>
      <c r="F15" s="30">
        <v>815776</v>
      </c>
    </row>
    <row r="16" spans="1:14" ht="13.5" customHeight="1">
      <c r="A16" s="260"/>
      <c r="B16" s="40" t="s">
        <v>53</v>
      </c>
      <c r="C16" s="30">
        <v>20160</v>
      </c>
      <c r="D16" s="30">
        <v>327035</v>
      </c>
      <c r="E16" s="30">
        <v>0</v>
      </c>
      <c r="F16" s="30">
        <v>121403</v>
      </c>
    </row>
    <row r="17" spans="1:10" ht="13.5" customHeight="1">
      <c r="A17" s="260"/>
      <c r="B17" s="40" t="s">
        <v>54</v>
      </c>
      <c r="C17" s="30">
        <v>0</v>
      </c>
      <c r="D17" s="30">
        <v>1204128</v>
      </c>
      <c r="E17" s="30">
        <v>0</v>
      </c>
      <c r="F17" s="30">
        <v>260902</v>
      </c>
    </row>
    <row r="18" spans="1:10" ht="13.5" customHeight="1">
      <c r="A18" s="260"/>
      <c r="B18" s="40" t="s">
        <v>55</v>
      </c>
      <c r="C18" s="30">
        <v>133100</v>
      </c>
      <c r="D18" s="30">
        <v>935971</v>
      </c>
      <c r="E18" s="30">
        <v>0</v>
      </c>
      <c r="F18" s="30">
        <v>233752</v>
      </c>
    </row>
    <row r="19" spans="1:10" ht="13.5" customHeight="1">
      <c r="A19" s="260"/>
      <c r="B19" s="40" t="s">
        <v>56</v>
      </c>
      <c r="C19" s="30">
        <v>125945</v>
      </c>
      <c r="D19" s="30">
        <v>224601</v>
      </c>
      <c r="E19" s="30">
        <v>0</v>
      </c>
      <c r="F19" s="30">
        <v>55335</v>
      </c>
    </row>
    <row r="20" spans="1:10" ht="13.5" customHeight="1">
      <c r="A20" s="260"/>
      <c r="B20" s="40" t="s">
        <v>57</v>
      </c>
      <c r="C20" s="30">
        <v>40111</v>
      </c>
      <c r="D20" s="30">
        <v>20156</v>
      </c>
      <c r="E20" s="30">
        <v>0</v>
      </c>
      <c r="F20" s="30">
        <v>0</v>
      </c>
    </row>
    <row r="21" spans="1:10" ht="13.5" customHeight="1">
      <c r="A21" s="260"/>
      <c r="B21" s="40" t="s">
        <v>58</v>
      </c>
      <c r="C21" s="27">
        <v>0</v>
      </c>
      <c r="D21" s="27">
        <v>0</v>
      </c>
      <c r="E21" s="27">
        <v>0</v>
      </c>
      <c r="F21" s="27">
        <v>0</v>
      </c>
    </row>
    <row r="22" spans="1:10" ht="13.5" customHeight="1">
      <c r="A22" s="260"/>
      <c r="B22" s="40" t="s">
        <v>59</v>
      </c>
      <c r="C22" s="30">
        <v>0</v>
      </c>
      <c r="D22" s="30">
        <v>0</v>
      </c>
      <c r="E22" s="30">
        <v>0</v>
      </c>
      <c r="F22" s="30">
        <v>2769624</v>
      </c>
    </row>
    <row r="23" spans="1:10" ht="13.5" customHeight="1">
      <c r="A23" s="260"/>
      <c r="B23" s="40" t="s">
        <v>60</v>
      </c>
      <c r="C23" s="30">
        <v>0</v>
      </c>
      <c r="D23" s="30">
        <v>95523</v>
      </c>
      <c r="E23" s="30">
        <v>0</v>
      </c>
      <c r="F23" s="30">
        <v>0</v>
      </c>
    </row>
    <row r="24" spans="1:10" ht="13.5" customHeight="1">
      <c r="A24" s="260"/>
      <c r="B24" s="40" t="s">
        <v>61</v>
      </c>
      <c r="C24" s="30">
        <v>0</v>
      </c>
      <c r="D24" s="30">
        <v>0</v>
      </c>
      <c r="E24" s="30">
        <v>0</v>
      </c>
      <c r="F24" s="30">
        <v>0</v>
      </c>
    </row>
    <row r="25" spans="1:10" ht="13.5" customHeight="1">
      <c r="A25" s="260"/>
      <c r="B25" s="40" t="s">
        <v>62</v>
      </c>
      <c r="C25" s="30">
        <v>0</v>
      </c>
      <c r="D25" s="30">
        <v>60</v>
      </c>
      <c r="E25" s="30">
        <v>0</v>
      </c>
      <c r="F25" s="30">
        <v>0</v>
      </c>
    </row>
    <row r="26" spans="1:10" ht="13.5" customHeight="1">
      <c r="A26" s="260"/>
      <c r="B26" s="40" t="s">
        <v>63</v>
      </c>
      <c r="C26" s="30">
        <v>186774.46</v>
      </c>
      <c r="D26" s="30">
        <v>845436</v>
      </c>
      <c r="E26" s="30">
        <v>0</v>
      </c>
      <c r="F26" s="30">
        <v>416825</v>
      </c>
    </row>
    <row r="27" spans="1:10" ht="13.5" customHeight="1">
      <c r="A27" s="260"/>
      <c r="B27" s="40" t="s">
        <v>151</v>
      </c>
      <c r="C27" s="30">
        <v>0</v>
      </c>
      <c r="D27" s="30">
        <v>0</v>
      </c>
      <c r="E27" s="30">
        <v>0</v>
      </c>
      <c r="F27" s="30">
        <v>0</v>
      </c>
    </row>
    <row r="28" spans="1:10" ht="13.5" customHeight="1">
      <c r="A28" s="260"/>
      <c r="B28" s="40" t="s">
        <v>65</v>
      </c>
      <c r="C28" s="30">
        <v>4489690</v>
      </c>
      <c r="D28" s="30">
        <v>1360646</v>
      </c>
      <c r="E28" s="30">
        <v>0</v>
      </c>
      <c r="F28" s="30">
        <v>4226483</v>
      </c>
      <c r="H28" s="31">
        <f>SUM(C28:E28)</f>
        <v>5850336</v>
      </c>
    </row>
    <row r="29" spans="1:10" ht="13.5" customHeight="1">
      <c r="A29" s="260"/>
      <c r="B29" s="40" t="s">
        <v>66</v>
      </c>
      <c r="C29" s="30">
        <v>0</v>
      </c>
      <c r="D29" s="30">
        <v>-21907</v>
      </c>
      <c r="E29" s="30">
        <v>3840.03</v>
      </c>
      <c r="F29" s="30">
        <v>-26246</v>
      </c>
      <c r="H29" s="31">
        <f>SUM(C29:E29)</f>
        <v>-18066.97</v>
      </c>
    </row>
    <row r="30" spans="1:10" ht="13.5" customHeight="1">
      <c r="A30" s="260"/>
      <c r="B30" s="40" t="s">
        <v>67</v>
      </c>
      <c r="C30" s="27">
        <v>145379</v>
      </c>
      <c r="D30" s="27">
        <v>116107</v>
      </c>
      <c r="E30" s="27">
        <v>378060.98</v>
      </c>
      <c r="F30" s="27">
        <f>83042+2493377</f>
        <v>2576419</v>
      </c>
      <c r="H30" s="31">
        <f>SUM(C30:E30)</f>
        <v>639546.98</v>
      </c>
      <c r="I30" s="31">
        <f>+H30+H29+H8</f>
        <v>620607.01</v>
      </c>
      <c r="J30" s="20" t="s">
        <v>68</v>
      </c>
    </row>
    <row r="31" spans="1:10" s="33" customFormat="1" ht="13.5" customHeight="1" thickBot="1">
      <c r="A31" s="256" t="s">
        <v>69</v>
      </c>
      <c r="B31" s="43"/>
      <c r="C31" s="44">
        <f>SUM(C15:C30)</f>
        <v>5511616.46</v>
      </c>
      <c r="D31" s="44">
        <f>SUM(D15:D30)</f>
        <v>6829357</v>
      </c>
      <c r="E31" s="44">
        <f>SUM(E15:E30)</f>
        <v>381901.01</v>
      </c>
      <c r="F31" s="44">
        <f>SUM(F15:F30)</f>
        <v>11450273</v>
      </c>
      <c r="G31" s="45">
        <f>AVERAGE(C31:F31)</f>
        <v>6043286.8674999997</v>
      </c>
      <c r="H31" s="45">
        <f>SUM(C31:E31)+SUM(C11:E13)</f>
        <v>12722874.470000001</v>
      </c>
    </row>
    <row r="32" spans="1:10" ht="13.5" customHeight="1">
      <c r="A32" s="254" t="s">
        <v>71</v>
      </c>
      <c r="B32" s="36"/>
      <c r="C32" s="39"/>
      <c r="D32" s="39"/>
      <c r="E32" s="39"/>
      <c r="F32" s="39"/>
    </row>
    <row r="33" spans="1:8" ht="13.5" customHeight="1">
      <c r="A33" s="260"/>
      <c r="B33" s="40" t="s">
        <v>72</v>
      </c>
      <c r="C33" s="30">
        <v>791733.75</v>
      </c>
      <c r="D33" s="30">
        <v>1253443</v>
      </c>
      <c r="E33" s="30">
        <v>14426.76</v>
      </c>
      <c r="F33" s="30">
        <v>2295193</v>
      </c>
      <c r="H33" s="31">
        <f>SUM(C33:E33)</f>
        <v>2059603.51</v>
      </c>
    </row>
    <row r="34" spans="1:8" ht="13.5" customHeight="1">
      <c r="A34" s="260"/>
      <c r="B34" s="40" t="s">
        <v>73</v>
      </c>
      <c r="C34" s="30">
        <v>1005315</v>
      </c>
      <c r="D34" s="30">
        <v>2111973</v>
      </c>
      <c r="E34" s="30">
        <v>0</v>
      </c>
      <c r="F34" s="30">
        <v>2313495</v>
      </c>
      <c r="H34" s="31">
        <f>SUM(C34:E34)</f>
        <v>3117288</v>
      </c>
    </row>
    <row r="35" spans="1:8" ht="13.5" customHeight="1">
      <c r="A35" s="260"/>
      <c r="B35" s="40" t="s">
        <v>74</v>
      </c>
      <c r="C35" s="30">
        <v>136950</v>
      </c>
      <c r="D35" s="30">
        <v>293510</v>
      </c>
      <c r="E35" s="30">
        <v>0</v>
      </c>
      <c r="F35" s="30">
        <v>609672</v>
      </c>
    </row>
    <row r="36" spans="1:8" ht="13.5" customHeight="1">
      <c r="A36" s="260"/>
      <c r="B36" s="40" t="s">
        <v>75</v>
      </c>
      <c r="C36" s="30">
        <v>108808</v>
      </c>
      <c r="D36" s="30">
        <v>714601</v>
      </c>
      <c r="E36" s="30">
        <v>0</v>
      </c>
      <c r="F36" s="30">
        <v>338642</v>
      </c>
    </row>
    <row r="37" spans="1:8" ht="13.5" customHeight="1">
      <c r="A37" s="260"/>
      <c r="B37" s="40" t="s">
        <v>63</v>
      </c>
      <c r="C37" s="30">
        <v>359363.12</v>
      </c>
      <c r="D37" s="30">
        <v>329932</v>
      </c>
      <c r="E37" s="30">
        <v>0</v>
      </c>
      <c r="F37" s="30">
        <v>141568</v>
      </c>
    </row>
    <row r="38" spans="1:8" ht="13.5" customHeight="1">
      <c r="A38" s="260"/>
      <c r="B38" s="40" t="s">
        <v>76</v>
      </c>
      <c r="C38" s="30">
        <v>1387763</v>
      </c>
      <c r="D38" s="30">
        <v>0</v>
      </c>
      <c r="E38" s="30">
        <v>0</v>
      </c>
      <c r="F38" s="30">
        <v>1097407</v>
      </c>
    </row>
    <row r="39" spans="1:8" ht="13.5" customHeight="1">
      <c r="A39" s="260"/>
      <c r="B39" s="40" t="s">
        <v>77</v>
      </c>
      <c r="C39" s="30">
        <v>0</v>
      </c>
      <c r="D39" s="30">
        <v>121302</v>
      </c>
      <c r="E39" s="30">
        <v>0</v>
      </c>
      <c r="F39" s="30">
        <v>55848</v>
      </c>
    </row>
    <row r="40" spans="1:8" ht="13.5" customHeight="1">
      <c r="A40" s="260"/>
      <c r="B40" s="40" t="s">
        <v>56</v>
      </c>
      <c r="C40" s="30">
        <v>181267</v>
      </c>
      <c r="D40" s="30">
        <v>228630</v>
      </c>
      <c r="E40" s="30">
        <v>0</v>
      </c>
      <c r="F40" s="30">
        <v>251332</v>
      </c>
    </row>
    <row r="41" spans="1:8" ht="13.5" customHeight="1">
      <c r="A41" s="260"/>
      <c r="B41" s="40" t="s">
        <v>57</v>
      </c>
      <c r="C41" s="30">
        <v>24798.2</v>
      </c>
      <c r="D41" s="30">
        <v>30482</v>
      </c>
      <c r="E41" s="30">
        <v>0</v>
      </c>
      <c r="F41" s="30">
        <v>0</v>
      </c>
    </row>
    <row r="42" spans="1:8" ht="13.5" customHeight="1">
      <c r="A42" s="260"/>
      <c r="B42" s="40" t="s">
        <v>58</v>
      </c>
      <c r="C42" s="30">
        <v>0</v>
      </c>
      <c r="D42" s="30">
        <v>0</v>
      </c>
      <c r="E42" s="30">
        <v>0</v>
      </c>
      <c r="F42" s="30">
        <v>0</v>
      </c>
    </row>
    <row r="43" spans="1:8" ht="13.5" customHeight="1">
      <c r="A43" s="260"/>
      <c r="B43" s="40" t="s">
        <v>59</v>
      </c>
      <c r="C43" s="30">
        <v>0</v>
      </c>
      <c r="D43" s="30">
        <v>0</v>
      </c>
      <c r="E43" s="30">
        <v>0</v>
      </c>
      <c r="F43" s="30">
        <v>1514561</v>
      </c>
    </row>
    <row r="44" spans="1:8" ht="13.5" customHeight="1">
      <c r="A44" s="260"/>
      <c r="B44" s="40" t="s">
        <v>78</v>
      </c>
      <c r="C44" s="30">
        <v>152700</v>
      </c>
      <c r="D44" s="30">
        <v>1409515</v>
      </c>
      <c r="E44" s="30">
        <v>0</v>
      </c>
      <c r="F44" s="30">
        <v>592015</v>
      </c>
    </row>
    <row r="45" spans="1:8" ht="13.5" customHeight="1">
      <c r="A45" s="260"/>
      <c r="B45" s="40" t="s">
        <v>61</v>
      </c>
      <c r="C45" s="30">
        <v>0</v>
      </c>
      <c r="D45" s="30">
        <v>0</v>
      </c>
      <c r="E45" s="30">
        <v>0</v>
      </c>
      <c r="F45" s="30">
        <v>0</v>
      </c>
    </row>
    <row r="46" spans="1:8" ht="13.5" customHeight="1">
      <c r="A46" s="260"/>
      <c r="B46" s="40" t="s">
        <v>79</v>
      </c>
      <c r="C46" s="30">
        <v>0</v>
      </c>
      <c r="D46" s="30">
        <v>30891</v>
      </c>
      <c r="E46" s="30">
        <v>0</v>
      </c>
      <c r="F46" s="30">
        <v>0</v>
      </c>
    </row>
    <row r="47" spans="1:8" ht="13.5" customHeight="1">
      <c r="A47" s="260"/>
      <c r="B47" s="40" t="s">
        <v>80</v>
      </c>
      <c r="C47" s="30">
        <v>12525</v>
      </c>
      <c r="D47" s="30">
        <v>7467</v>
      </c>
      <c r="E47" s="30">
        <v>0</v>
      </c>
      <c r="F47" s="30">
        <v>194397</v>
      </c>
    </row>
    <row r="48" spans="1:8" ht="13.5" customHeight="1">
      <c r="A48" s="260"/>
      <c r="B48" s="40" t="s">
        <v>81</v>
      </c>
      <c r="C48" s="30">
        <v>7469</v>
      </c>
      <c r="D48" s="30">
        <v>145556</v>
      </c>
      <c r="E48" s="30">
        <v>0</v>
      </c>
      <c r="F48" s="30">
        <v>72965</v>
      </c>
    </row>
    <row r="49" spans="1:8" ht="13.5" customHeight="1">
      <c r="A49" s="260"/>
      <c r="B49" s="40" t="s">
        <v>82</v>
      </c>
      <c r="C49" s="30">
        <v>-265</v>
      </c>
      <c r="D49" s="30">
        <v>-437</v>
      </c>
      <c r="E49" s="30">
        <v>0</v>
      </c>
      <c r="F49" s="30">
        <v>-842</v>
      </c>
    </row>
    <row r="50" spans="1:8" ht="13.5" customHeight="1">
      <c r="A50" s="260"/>
      <c r="B50" s="40" t="s">
        <v>83</v>
      </c>
      <c r="C50" s="30">
        <v>0</v>
      </c>
      <c r="D50" s="30">
        <v>624</v>
      </c>
      <c r="E50" s="30">
        <v>0</v>
      </c>
      <c r="F50" s="30">
        <v>2212912</v>
      </c>
    </row>
    <row r="51" spans="1:8" s="33" customFormat="1" ht="13.5" customHeight="1" thickBot="1">
      <c r="A51" s="256" t="s">
        <v>84</v>
      </c>
      <c r="B51" s="43"/>
      <c r="C51" s="44">
        <f>SUM(C33:C50)</f>
        <v>4168427.0700000003</v>
      </c>
      <c r="D51" s="44">
        <f>SUM(D33:D50)</f>
        <v>6677489</v>
      </c>
      <c r="E51" s="44">
        <f>SUM(E33:E50)</f>
        <v>14426.76</v>
      </c>
      <c r="F51" s="44">
        <f>SUM(F33:F50)</f>
        <v>11689165</v>
      </c>
      <c r="G51" s="45">
        <f>AVERAGE(C51:F51)</f>
        <v>5637376.9574999996</v>
      </c>
      <c r="H51" s="45">
        <f>+SUM(C51:E51)+SUM(C53:E53)</f>
        <v>12473558.380000001</v>
      </c>
    </row>
    <row r="52" spans="1:8" ht="13.5" customHeight="1">
      <c r="A52" s="254" t="s">
        <v>85</v>
      </c>
      <c r="B52" s="36"/>
      <c r="C52" s="27"/>
      <c r="D52" s="27"/>
      <c r="E52" s="27"/>
      <c r="F52" s="27"/>
    </row>
    <row r="53" spans="1:8" s="33" customFormat="1" ht="13.5" customHeight="1">
      <c r="A53" s="258"/>
      <c r="B53" s="34" t="s">
        <v>86</v>
      </c>
      <c r="C53" s="35">
        <v>241368</v>
      </c>
      <c r="D53" s="35">
        <v>262209</v>
      </c>
      <c r="E53" s="35">
        <v>1109638.55</v>
      </c>
      <c r="F53" s="35">
        <v>871247</v>
      </c>
      <c r="H53" s="31">
        <f>SUM(C53:E53)</f>
        <v>1613215.55</v>
      </c>
    </row>
    <row r="54" spans="1:8" s="33" customFormat="1" ht="13.5" customHeight="1">
      <c r="A54" s="261"/>
      <c r="B54" s="47" t="s">
        <v>207</v>
      </c>
      <c r="C54" s="35">
        <v>1257058</v>
      </c>
      <c r="D54" s="53">
        <v>3144498</v>
      </c>
      <c r="E54" s="53">
        <v>1936560.96</v>
      </c>
      <c r="F54" s="53">
        <v>0</v>
      </c>
      <c r="H54" s="31">
        <f>SUM(C54:E54)</f>
        <v>6338116.96</v>
      </c>
    </row>
    <row r="55" spans="1:8" s="33" customFormat="1" ht="13.5" customHeight="1">
      <c r="A55" s="257" t="s">
        <v>208</v>
      </c>
      <c r="B55" s="47"/>
      <c r="C55" s="35">
        <f t="shared" ref="C55:F55" si="0">+C31-C51</f>
        <v>1343189.3899999997</v>
      </c>
      <c r="D55" s="35">
        <f t="shared" si="0"/>
        <v>151868</v>
      </c>
      <c r="E55" s="35">
        <f t="shared" si="0"/>
        <v>367474.25</v>
      </c>
      <c r="F55" s="35">
        <f t="shared" si="0"/>
        <v>-238892</v>
      </c>
      <c r="G55" s="45">
        <f>AVERAGE(C55:F55)</f>
        <v>405909.90999999992</v>
      </c>
    </row>
    <row r="56" spans="1:8" s="33" customFormat="1" ht="13.5" customHeight="1">
      <c r="A56" s="257" t="s">
        <v>209</v>
      </c>
      <c r="B56" s="47"/>
      <c r="C56" s="35">
        <f>+C31-C51-C53-C54</f>
        <v>-155236.61000000034</v>
      </c>
      <c r="D56" s="35">
        <f t="shared" ref="D56:F56" si="1">+D31-D51-D53-D54</f>
        <v>-3254839</v>
      </c>
      <c r="E56" s="35">
        <f t="shared" si="1"/>
        <v>-2678725.2599999998</v>
      </c>
      <c r="F56" s="35">
        <f t="shared" si="1"/>
        <v>-1110139</v>
      </c>
      <c r="G56" s="45">
        <f>AVERAGE(C56:F56)</f>
        <v>-1799734.9675</v>
      </c>
    </row>
    <row r="57" spans="1:8" s="33" customFormat="1" ht="13.5" customHeight="1">
      <c r="A57" s="257" t="s">
        <v>210</v>
      </c>
      <c r="B57" s="47"/>
      <c r="C57" s="35">
        <f t="shared" ref="C57:F57" si="2">+C11+C12+C13+C31+-C51</f>
        <v>1343189.3899999997</v>
      </c>
      <c r="D57" s="35">
        <f t="shared" si="2"/>
        <v>151868</v>
      </c>
      <c r="E57" s="35">
        <f t="shared" si="2"/>
        <v>367474.25</v>
      </c>
      <c r="F57" s="35">
        <f t="shared" si="2"/>
        <v>-238892</v>
      </c>
      <c r="G57" s="45">
        <f>AVERAGE(C57:F57)</f>
        <v>405909.90999999992</v>
      </c>
    </row>
    <row r="58" spans="1:8" s="33" customFormat="1" ht="13.5" customHeight="1">
      <c r="A58" s="257" t="s">
        <v>211</v>
      </c>
      <c r="B58" s="47"/>
      <c r="C58" s="35">
        <f>+C11+C12+C13+C31-C51-C53-C54</f>
        <v>-155236.61000000034</v>
      </c>
      <c r="D58" s="35">
        <f t="shared" ref="D58:F58" si="3">+D11+D12+D13+D31-D51-D53-D54</f>
        <v>-3254839</v>
      </c>
      <c r="E58" s="35">
        <f t="shared" si="3"/>
        <v>-2678725.2599999998</v>
      </c>
      <c r="F58" s="35">
        <f t="shared" si="3"/>
        <v>-1110139</v>
      </c>
      <c r="G58" s="45">
        <f>AVERAGE(C58:F58)</f>
        <v>-1799734.9675</v>
      </c>
      <c r="H58" s="45">
        <f>SUM(C58:E58)</f>
        <v>-6088800.8700000001</v>
      </c>
    </row>
    <row r="59" spans="1:8" ht="13.5" customHeight="1">
      <c r="A59" s="255" t="s">
        <v>206</v>
      </c>
      <c r="B59" s="22"/>
      <c r="C59" s="48"/>
      <c r="D59" s="50"/>
      <c r="E59" s="50"/>
      <c r="F59" s="50"/>
      <c r="G59" s="107"/>
    </row>
    <row r="60" spans="1:8" s="60" customFormat="1" ht="13.5" customHeight="1">
      <c r="A60" s="262"/>
      <c r="B60" s="238" t="s">
        <v>42</v>
      </c>
      <c r="C60" s="27">
        <v>1228735</v>
      </c>
      <c r="D60" s="30">
        <v>-540273</v>
      </c>
      <c r="E60" s="30">
        <v>202482.49</v>
      </c>
      <c r="F60" s="30">
        <f>1677371+200000</f>
        <v>1877371</v>
      </c>
      <c r="G60" s="241">
        <f>SUM(C60:F60)/4</f>
        <v>692078.87250000006</v>
      </c>
    </row>
    <row r="61" spans="1:8" s="60" customFormat="1" ht="13.5" customHeight="1">
      <c r="A61" s="262"/>
      <c r="B61" s="238" t="s">
        <v>220</v>
      </c>
      <c r="C61" s="27">
        <v>-1114090</v>
      </c>
      <c r="D61" s="30">
        <v>-2817682</v>
      </c>
      <c r="E61" s="30">
        <v>-1936560.96</v>
      </c>
      <c r="F61" s="30">
        <v>0</v>
      </c>
      <c r="G61" s="241"/>
    </row>
    <row r="62" spans="1:8" s="60" customFormat="1" ht="13.5" customHeight="1">
      <c r="A62" s="262"/>
      <c r="B62" s="238" t="s">
        <v>43</v>
      </c>
      <c r="C62" s="27">
        <v>0</v>
      </c>
      <c r="D62" s="30">
        <v>0</v>
      </c>
      <c r="E62" s="30">
        <v>0</v>
      </c>
      <c r="F62" s="30">
        <v>0</v>
      </c>
      <c r="G62" s="108">
        <f>MAX(C60:F60)</f>
        <v>1877371</v>
      </c>
    </row>
    <row r="63" spans="1:8" s="60" customFormat="1" ht="13.5" customHeight="1">
      <c r="A63" s="262"/>
      <c r="B63" s="238" t="s">
        <v>44</v>
      </c>
      <c r="C63" s="27">
        <v>2087805</v>
      </c>
      <c r="D63" s="30">
        <v>2422232</v>
      </c>
      <c r="E63" s="30">
        <v>24727079.089999992</v>
      </c>
      <c r="F63" s="30">
        <v>3205895</v>
      </c>
      <c r="G63" s="108">
        <f>MIN(C60:F60)</f>
        <v>-540273</v>
      </c>
    </row>
    <row r="64" spans="1:8" s="33" customFormat="1" ht="13.5" customHeight="1">
      <c r="A64" s="257"/>
      <c r="B64" s="52" t="s">
        <v>46</v>
      </c>
      <c r="C64" s="32">
        <f>SUM(C60:C63)</f>
        <v>2202450</v>
      </c>
      <c r="D64" s="68">
        <f>SUM(D60:D63)</f>
        <v>-935723</v>
      </c>
      <c r="E64" s="68">
        <f>SUM(E60:E63)</f>
        <v>22993000.619999994</v>
      </c>
      <c r="F64" s="68">
        <f>SUM(F60:F63)</f>
        <v>5083266</v>
      </c>
    </row>
    <row r="65" spans="1:7" s="93" customFormat="1">
      <c r="A65" s="263" t="s">
        <v>87</v>
      </c>
      <c r="B65" s="224"/>
      <c r="C65" s="273">
        <f t="shared" ref="C65" si="4">C60/(C51)</f>
        <v>0.29477185983249071</v>
      </c>
      <c r="D65" s="273">
        <f>D60/(D51)</f>
        <v>-8.0909605392086761E-2</v>
      </c>
      <c r="E65" s="273">
        <f>E60/(E51)</f>
        <v>14.03520194416487</v>
      </c>
      <c r="F65" s="278">
        <f>F60/(F51)</f>
        <v>0.16060779362768854</v>
      </c>
      <c r="G65" s="141">
        <f>AVERAGE(C65:F65)</f>
        <v>3.6024179980582405</v>
      </c>
    </row>
    <row r="66" spans="1:7" hidden="1">
      <c r="A66" s="222"/>
      <c r="B66" s="62" t="s">
        <v>88</v>
      </c>
      <c r="C66" s="57">
        <f>+C9+C11+C12+C13+C31-C51-C53-C64-C54</f>
        <v>-5.6100000003352761</v>
      </c>
      <c r="D66" s="57">
        <f t="shared" ref="D66:F66" si="5">+D9+D11+D12+D13+D31-D51-D53-D64-D54</f>
        <v>1</v>
      </c>
      <c r="E66" s="57">
        <f t="shared" si="5"/>
        <v>4.6566128730773926E-9</v>
      </c>
      <c r="F66" s="57">
        <f t="shared" si="5"/>
        <v>1</v>
      </c>
      <c r="G66" s="59">
        <f>MAX(C65:F65)</f>
        <v>14.03520194416487</v>
      </c>
    </row>
    <row r="67" spans="1:7" hidden="1">
      <c r="A67" s="234"/>
      <c r="B67" s="234"/>
      <c r="C67" s="58">
        <f>+C9+C58-C64</f>
        <v>-5.6100000003352761</v>
      </c>
      <c r="D67" s="58">
        <f>+D9+D58-D64</f>
        <v>1</v>
      </c>
      <c r="E67" s="58">
        <f>+E9+E58-E64</f>
        <v>0</v>
      </c>
      <c r="F67" s="58">
        <f>+F9+F58-F64</f>
        <v>1</v>
      </c>
      <c r="G67" s="142">
        <f>MIN(C65:F65)</f>
        <v>-8.0909605392086761E-2</v>
      </c>
    </row>
    <row r="68" spans="1:7">
      <c r="A68" s="234"/>
      <c r="B68" s="234"/>
      <c r="C68" s="58"/>
      <c r="D68" s="58"/>
      <c r="E68" s="58"/>
      <c r="F68" s="58"/>
      <c r="G68" s="142"/>
    </row>
    <row r="69" spans="1:7" ht="12.75" customHeight="1">
      <c r="A69" s="213" t="s">
        <v>199</v>
      </c>
      <c r="B69" s="63"/>
      <c r="C69" s="157"/>
      <c r="D69" s="157"/>
      <c r="E69" s="157"/>
      <c r="F69" s="58"/>
      <c r="G69" s="142"/>
    </row>
    <row r="70" spans="1:7" ht="12.75" customHeight="1">
      <c r="A70" s="210" t="s">
        <v>200</v>
      </c>
      <c r="B70" s="63"/>
      <c r="C70" s="157"/>
      <c r="D70" s="157"/>
      <c r="E70" s="157"/>
    </row>
    <row r="71" spans="1:7" ht="12.75" customHeight="1">
      <c r="A71" s="211" t="s">
        <v>89</v>
      </c>
      <c r="B71" s="63"/>
      <c r="C71" s="157"/>
      <c r="D71" s="157"/>
      <c r="E71" s="157"/>
    </row>
    <row r="72" spans="1:7">
      <c r="A72" s="212"/>
      <c r="B72" s="63"/>
      <c r="C72" s="63"/>
      <c r="D72" s="63"/>
      <c r="E72" s="63"/>
    </row>
    <row r="73" spans="1:7" ht="12.75" customHeight="1">
      <c r="A73" s="210" t="s">
        <v>201</v>
      </c>
      <c r="B73" s="63"/>
      <c r="C73" s="157"/>
      <c r="D73" s="157"/>
      <c r="E73" s="157"/>
    </row>
    <row r="74" spans="1:7" ht="12.75" customHeight="1">
      <c r="A74" s="210" t="s">
        <v>90</v>
      </c>
      <c r="B74" s="63"/>
      <c r="C74" s="157"/>
      <c r="D74" s="157"/>
      <c r="E74" s="157"/>
    </row>
    <row r="75" spans="1:7" ht="12.75" customHeight="1">
      <c r="A75" s="210" t="s">
        <v>91</v>
      </c>
      <c r="B75" s="236"/>
      <c r="C75" s="164"/>
      <c r="D75" s="164"/>
      <c r="E75" s="164"/>
    </row>
    <row r="76" spans="1:7">
      <c r="A76" s="63"/>
      <c r="B76" s="166"/>
      <c r="C76" s="164"/>
      <c r="D76" s="164"/>
      <c r="E76" s="164"/>
    </row>
    <row r="77" spans="1:7">
      <c r="A77" s="368"/>
      <c r="B77" s="369"/>
      <c r="C77" s="252"/>
      <c r="D77" s="252"/>
      <c r="E77" s="252"/>
      <c r="F77" s="252"/>
    </row>
    <row r="78" spans="1:7" ht="69.75" customHeight="1">
      <c r="A78" s="370"/>
      <c r="B78" s="371"/>
      <c r="C78" s="251" t="str">
        <f>C2</f>
        <v>1-A DAA,     Grand National Rodeo &amp; Show</v>
      </c>
      <c r="D78" s="251" t="str">
        <f>D2</f>
        <v>15th DAA,        Kern County Fair</v>
      </c>
      <c r="E78" s="251" t="str">
        <f>E2</f>
        <v>50th DAA, Antelope Valley Fair</v>
      </c>
      <c r="F78" s="251" t="str">
        <f>F2</f>
        <v>San Mateo County Fair</v>
      </c>
    </row>
    <row r="79" spans="1:7" ht="13.5" customHeight="1">
      <c r="A79" s="255" t="s">
        <v>92</v>
      </c>
      <c r="B79" s="40"/>
      <c r="C79" s="66"/>
      <c r="D79" s="66"/>
      <c r="E79" s="66"/>
      <c r="F79" s="66"/>
    </row>
    <row r="80" spans="1:7" ht="13.5" customHeight="1">
      <c r="A80" s="255" t="s">
        <v>93</v>
      </c>
      <c r="B80" s="40"/>
      <c r="C80" s="66"/>
      <c r="D80" s="66"/>
      <c r="E80" s="66"/>
      <c r="F80" s="66"/>
    </row>
    <row r="81" spans="1:8" ht="13.5" customHeight="1">
      <c r="A81" s="260"/>
      <c r="B81" s="40" t="s">
        <v>94</v>
      </c>
      <c r="C81" s="30"/>
      <c r="D81" s="30"/>
      <c r="E81" s="30"/>
      <c r="F81" s="30"/>
    </row>
    <row r="82" spans="1:8" ht="13.5" customHeight="1">
      <c r="A82" s="260"/>
      <c r="B82" s="40" t="s">
        <v>95</v>
      </c>
      <c r="C82" s="25">
        <v>0</v>
      </c>
      <c r="D82" s="25">
        <v>0</v>
      </c>
      <c r="E82" s="25">
        <v>0</v>
      </c>
      <c r="F82" s="25">
        <v>5359992</v>
      </c>
      <c r="H82" s="67">
        <f t="shared" ref="H82:H92" si="6">SUM(C82:E82)</f>
        <v>0</v>
      </c>
    </row>
    <row r="83" spans="1:8" ht="13.5" customHeight="1">
      <c r="A83" s="260"/>
      <c r="B83" s="40" t="s">
        <v>96</v>
      </c>
      <c r="C83" s="30">
        <v>1963047</v>
      </c>
      <c r="D83" s="30">
        <v>770512</v>
      </c>
      <c r="E83" s="30">
        <v>12397.84</v>
      </c>
      <c r="F83" s="30">
        <v>2213357</v>
      </c>
      <c r="H83" s="67">
        <f t="shared" si="6"/>
        <v>2745956.84</v>
      </c>
    </row>
    <row r="84" spans="1:8" ht="13.5" customHeight="1">
      <c r="A84" s="260"/>
      <c r="B84" s="40" t="s">
        <v>97</v>
      </c>
      <c r="C84" s="30">
        <v>72415</v>
      </c>
      <c r="D84" s="30">
        <v>11996</v>
      </c>
      <c r="E84" s="30">
        <v>14.54</v>
      </c>
      <c r="F84" s="30">
        <v>502885</v>
      </c>
      <c r="H84" s="67">
        <f t="shared" si="6"/>
        <v>84425.54</v>
      </c>
    </row>
    <row r="85" spans="1:8" ht="13.5" customHeight="1">
      <c r="A85" s="260"/>
      <c r="B85" s="40" t="s">
        <v>98</v>
      </c>
      <c r="C85" s="30">
        <v>1036</v>
      </c>
      <c r="D85" s="30">
        <v>-8017</v>
      </c>
      <c r="E85" s="30">
        <v>0</v>
      </c>
      <c r="F85" s="30">
        <v>107007</v>
      </c>
      <c r="H85" s="67">
        <f t="shared" si="6"/>
        <v>-6981</v>
      </c>
    </row>
    <row r="86" spans="1:8" ht="13.5" customHeight="1">
      <c r="A86" s="260"/>
      <c r="B86" s="40" t="s">
        <v>99</v>
      </c>
      <c r="C86" s="30">
        <v>0</v>
      </c>
      <c r="D86" s="30">
        <v>0</v>
      </c>
      <c r="E86" s="30">
        <v>0</v>
      </c>
      <c r="F86" s="30">
        <v>0</v>
      </c>
      <c r="H86" s="67">
        <f t="shared" si="6"/>
        <v>0</v>
      </c>
    </row>
    <row r="87" spans="1:8" ht="13.5" customHeight="1">
      <c r="A87" s="260"/>
      <c r="B87" s="143" t="s">
        <v>100</v>
      </c>
      <c r="C87" s="30">
        <v>0</v>
      </c>
      <c r="D87" s="30">
        <v>0</v>
      </c>
      <c r="E87" s="30">
        <v>0</v>
      </c>
      <c r="F87" s="30">
        <v>6422</v>
      </c>
      <c r="H87" s="20">
        <f t="shared" si="6"/>
        <v>0</v>
      </c>
    </row>
    <row r="88" spans="1:8" ht="13.5" customHeight="1">
      <c r="A88" s="260"/>
      <c r="B88" s="40" t="s">
        <v>101</v>
      </c>
      <c r="C88" s="30">
        <v>145397</v>
      </c>
      <c r="D88" s="30">
        <v>0</v>
      </c>
      <c r="E88" s="30">
        <v>6245128.8799999999</v>
      </c>
      <c r="F88" s="30">
        <v>0</v>
      </c>
      <c r="H88" s="20">
        <f t="shared" si="6"/>
        <v>6390525.8799999999</v>
      </c>
    </row>
    <row r="89" spans="1:8" ht="13.5" customHeight="1">
      <c r="A89" s="260"/>
      <c r="B89" s="40" t="s">
        <v>102</v>
      </c>
      <c r="C89" s="30">
        <v>13596937</v>
      </c>
      <c r="D89" s="30">
        <v>0</v>
      </c>
      <c r="E89" s="30">
        <v>26508211.809999999</v>
      </c>
      <c r="F89" s="30">
        <v>0</v>
      </c>
      <c r="H89" s="20">
        <f t="shared" si="6"/>
        <v>40105148.810000002</v>
      </c>
    </row>
    <row r="90" spans="1:8" ht="13.5" customHeight="1">
      <c r="A90" s="260"/>
      <c r="B90" s="40" t="s">
        <v>103</v>
      </c>
      <c r="C90" s="30">
        <v>1713167</v>
      </c>
      <c r="D90" s="30">
        <v>779958</v>
      </c>
      <c r="E90" s="30">
        <v>1917417.91</v>
      </c>
      <c r="F90" s="30">
        <v>3375214</v>
      </c>
      <c r="H90" s="20">
        <f t="shared" si="6"/>
        <v>4410542.91</v>
      </c>
    </row>
    <row r="91" spans="1:8" ht="13.5" customHeight="1">
      <c r="A91" s="260"/>
      <c r="B91" s="40" t="s">
        <v>104</v>
      </c>
      <c r="C91" s="30">
        <v>0</v>
      </c>
      <c r="D91" s="30">
        <v>8735856</v>
      </c>
      <c r="E91" s="30">
        <v>4736496.8600000003</v>
      </c>
      <c r="F91" s="30">
        <v>6722540</v>
      </c>
      <c r="H91" s="20">
        <f t="shared" si="6"/>
        <v>13472352.859999999</v>
      </c>
    </row>
    <row r="92" spans="1:8" ht="13.5" customHeight="1">
      <c r="A92" s="260"/>
      <c r="B92" s="40" t="s">
        <v>186</v>
      </c>
      <c r="C92" s="30">
        <v>0</v>
      </c>
      <c r="D92" s="30">
        <v>0</v>
      </c>
      <c r="E92" s="30">
        <v>196829.15</v>
      </c>
      <c r="F92" s="30">
        <v>0</v>
      </c>
      <c r="H92" s="20">
        <f t="shared" si="6"/>
        <v>196829.15</v>
      </c>
    </row>
    <row r="93" spans="1:8" ht="13.5" customHeight="1">
      <c r="A93" s="260"/>
      <c r="B93" s="40" t="s">
        <v>105</v>
      </c>
      <c r="C93" s="30">
        <f>-11787324-1580372</f>
        <v>-13367696</v>
      </c>
      <c r="D93" s="30">
        <f>-681134-6200854</f>
        <v>-6881988</v>
      </c>
      <c r="E93" s="30">
        <v>-13601764.890000001</v>
      </c>
      <c r="F93" s="30">
        <f>-2947838-3750443</f>
        <v>-6698281</v>
      </c>
      <c r="H93" s="31">
        <f>SUM(C87:E93)</f>
        <v>30723950.719999991</v>
      </c>
    </row>
    <row r="94" spans="1:8" ht="13.5" customHeight="1">
      <c r="A94" s="260"/>
      <c r="B94" s="40" t="s">
        <v>106</v>
      </c>
      <c r="C94" s="30">
        <v>0</v>
      </c>
      <c r="D94" s="30">
        <v>0</v>
      </c>
      <c r="E94" s="30">
        <v>0</v>
      </c>
      <c r="F94" s="30">
        <v>2</v>
      </c>
    </row>
    <row r="95" spans="1:8" s="33" customFormat="1" ht="13.5" customHeight="1">
      <c r="A95" s="268" t="s">
        <v>107</v>
      </c>
      <c r="B95" s="34"/>
      <c r="C95" s="35">
        <f>SUM(C81:C94)</f>
        <v>4124303</v>
      </c>
      <c r="D95" s="35">
        <f t="shared" ref="D95:F95" si="7">SUM(D81:D94)</f>
        <v>3408317</v>
      </c>
      <c r="E95" s="35">
        <f t="shared" si="7"/>
        <v>26014732.099999994</v>
      </c>
      <c r="F95" s="35">
        <f t="shared" si="7"/>
        <v>11589138</v>
      </c>
      <c r="H95" s="226">
        <f>SUM(C95:E95)</f>
        <v>33547352.099999994</v>
      </c>
    </row>
    <row r="96" spans="1:8" s="33" customFormat="1" ht="13.5" customHeight="1">
      <c r="A96" s="268" t="s">
        <v>215</v>
      </c>
      <c r="B96" s="34"/>
      <c r="C96" s="35">
        <v>219403</v>
      </c>
      <c r="D96" s="35">
        <v>478224</v>
      </c>
      <c r="E96" s="35">
        <v>241107.04</v>
      </c>
      <c r="F96" s="35">
        <v>0</v>
      </c>
      <c r="H96" s="226">
        <f>SUM(C96:E96)</f>
        <v>938734.04</v>
      </c>
    </row>
    <row r="97" spans="1:8" s="56" customFormat="1" ht="13.5" customHeight="1">
      <c r="A97" s="263" t="s">
        <v>212</v>
      </c>
      <c r="B97" s="224"/>
      <c r="C97" s="225">
        <f>+C95+C96</f>
        <v>4343706</v>
      </c>
      <c r="D97" s="225">
        <f t="shared" ref="D97:F97" si="8">+D95+D96</f>
        <v>3886541</v>
      </c>
      <c r="E97" s="225">
        <f t="shared" si="8"/>
        <v>26255839.139999993</v>
      </c>
      <c r="F97" s="225">
        <f t="shared" si="8"/>
        <v>11589138</v>
      </c>
      <c r="H97" s="226">
        <f>SUM(C97:E97)</f>
        <v>34486086.139999993</v>
      </c>
    </row>
    <row r="98" spans="1:8" ht="13.5" customHeight="1">
      <c r="A98" s="255" t="s">
        <v>213</v>
      </c>
      <c r="B98" s="40"/>
      <c r="C98" s="64"/>
      <c r="D98" s="66"/>
      <c r="E98" s="66"/>
      <c r="F98" s="66"/>
    </row>
    <row r="99" spans="1:8" ht="13.5" customHeight="1">
      <c r="A99" s="260"/>
      <c r="B99" s="40" t="s">
        <v>108</v>
      </c>
      <c r="C99" s="29">
        <v>152</v>
      </c>
      <c r="D99" s="29">
        <v>1222</v>
      </c>
      <c r="E99" s="29">
        <v>0</v>
      </c>
      <c r="F99" s="284">
        <v>0</v>
      </c>
      <c r="H99" s="67">
        <f t="shared" ref="H99:H119" si="9">SUM(C99:E99)</f>
        <v>1374</v>
      </c>
    </row>
    <row r="100" spans="1:8" ht="13.5" customHeight="1">
      <c r="A100" s="260"/>
      <c r="B100" s="40" t="s">
        <v>109</v>
      </c>
      <c r="C100" s="29">
        <v>500033</v>
      </c>
      <c r="D100" s="30">
        <v>309612</v>
      </c>
      <c r="E100" s="30">
        <v>145</v>
      </c>
      <c r="F100" s="30">
        <v>249492</v>
      </c>
      <c r="H100" s="67">
        <f t="shared" si="9"/>
        <v>809790</v>
      </c>
    </row>
    <row r="101" spans="1:8" ht="13.5" customHeight="1">
      <c r="A101" s="260"/>
      <c r="B101" s="40" t="s">
        <v>110</v>
      </c>
      <c r="C101" s="29">
        <v>-7399</v>
      </c>
      <c r="D101" s="30">
        <v>-3963</v>
      </c>
      <c r="E101" s="30">
        <v>0</v>
      </c>
      <c r="F101" s="30">
        <v>71316</v>
      </c>
      <c r="H101" s="67">
        <f t="shared" si="9"/>
        <v>-11362</v>
      </c>
    </row>
    <row r="102" spans="1:8" ht="13.5" customHeight="1">
      <c r="A102" s="260"/>
      <c r="B102" s="40" t="s">
        <v>111</v>
      </c>
      <c r="C102" s="29">
        <v>150184</v>
      </c>
      <c r="D102" s="30">
        <v>316693</v>
      </c>
      <c r="E102" s="30">
        <v>0</v>
      </c>
      <c r="F102" s="30">
        <v>123290</v>
      </c>
      <c r="H102" s="67">
        <f t="shared" si="9"/>
        <v>466877</v>
      </c>
    </row>
    <row r="103" spans="1:8" ht="13.5" customHeight="1">
      <c r="A103" s="260"/>
      <c r="B103" s="40" t="s">
        <v>112</v>
      </c>
      <c r="C103" s="29">
        <v>19900</v>
      </c>
      <c r="D103" s="30">
        <v>-22500</v>
      </c>
      <c r="E103" s="30">
        <v>6614.04</v>
      </c>
      <c r="F103" s="30">
        <f>145537+5359992</f>
        <v>5505529</v>
      </c>
      <c r="H103" s="67">
        <f t="shared" si="9"/>
        <v>4014.04</v>
      </c>
    </row>
    <row r="104" spans="1:8" ht="13.5" customHeight="1">
      <c r="A104" s="260"/>
      <c r="B104" s="40" t="s">
        <v>113</v>
      </c>
      <c r="C104" s="29">
        <v>0</v>
      </c>
      <c r="D104" s="30">
        <v>0</v>
      </c>
      <c r="E104" s="30">
        <v>0</v>
      </c>
      <c r="F104" s="30">
        <v>0</v>
      </c>
      <c r="H104" s="67">
        <f t="shared" si="9"/>
        <v>0</v>
      </c>
    </row>
    <row r="105" spans="1:8" ht="13.5" customHeight="1">
      <c r="A105" s="260"/>
      <c r="B105" s="40" t="s">
        <v>114</v>
      </c>
      <c r="C105" s="29">
        <v>144894</v>
      </c>
      <c r="D105" s="30">
        <v>517335</v>
      </c>
      <c r="E105" s="30">
        <v>0</v>
      </c>
      <c r="F105" s="30">
        <v>303498</v>
      </c>
      <c r="H105" s="67">
        <f t="shared" si="9"/>
        <v>662229</v>
      </c>
    </row>
    <row r="106" spans="1:8" ht="13.5" customHeight="1">
      <c r="A106" s="260"/>
      <c r="B106" s="40" t="s">
        <v>115</v>
      </c>
      <c r="C106" s="29">
        <v>0</v>
      </c>
      <c r="D106" s="30">
        <v>203330</v>
      </c>
      <c r="E106" s="30">
        <v>1078411.48</v>
      </c>
      <c r="F106" s="30">
        <v>200000</v>
      </c>
      <c r="H106" s="67">
        <f t="shared" si="9"/>
        <v>1281741.48</v>
      </c>
    </row>
    <row r="107" spans="1:8" ht="13.5" customHeight="1">
      <c r="A107" s="260"/>
      <c r="B107" s="40" t="s">
        <v>218</v>
      </c>
      <c r="C107" s="29">
        <v>1310554</v>
      </c>
      <c r="D107" s="30">
        <v>3206753</v>
      </c>
      <c r="E107" s="30">
        <v>1818541</v>
      </c>
      <c r="F107" s="30">
        <v>0</v>
      </c>
      <c r="H107" s="67">
        <f t="shared" si="9"/>
        <v>6335848</v>
      </c>
    </row>
    <row r="108" spans="1:8" s="33" customFormat="1" ht="13.5" customHeight="1">
      <c r="A108" s="268" t="s">
        <v>217</v>
      </c>
      <c r="B108" s="34"/>
      <c r="C108" s="35">
        <f>SUM(C99:C107)</f>
        <v>2118318</v>
      </c>
      <c r="D108" s="35">
        <f t="shared" ref="D108:F108" si="10">SUM(D99:D107)</f>
        <v>4528482</v>
      </c>
      <c r="E108" s="35">
        <f t="shared" si="10"/>
        <v>2903711.52</v>
      </c>
      <c r="F108" s="35">
        <f t="shared" si="10"/>
        <v>6453125</v>
      </c>
      <c r="H108" s="226">
        <f>SUM(C108:E108)</f>
        <v>9550511.5199999996</v>
      </c>
    </row>
    <row r="109" spans="1:8" s="33" customFormat="1" ht="13.5" customHeight="1">
      <c r="A109" s="268" t="s">
        <v>216</v>
      </c>
      <c r="B109" s="34"/>
      <c r="C109" s="35">
        <v>22939</v>
      </c>
      <c r="D109" s="35">
        <v>89153</v>
      </c>
      <c r="E109" s="35">
        <v>359127</v>
      </c>
      <c r="F109" s="35">
        <v>0</v>
      </c>
      <c r="H109" s="226">
        <f>SUM(C109:E109)</f>
        <v>471219</v>
      </c>
    </row>
    <row r="110" spans="1:8" s="56" customFormat="1" ht="13.5" customHeight="1">
      <c r="A110" s="263" t="s">
        <v>214</v>
      </c>
      <c r="B110" s="224"/>
      <c r="C110" s="225">
        <f>+C108+C109</f>
        <v>2141257</v>
      </c>
      <c r="D110" s="225">
        <f t="shared" ref="D110:F110" si="11">+D108+D109</f>
        <v>4617635</v>
      </c>
      <c r="E110" s="225">
        <f t="shared" si="11"/>
        <v>3262838.52</v>
      </c>
      <c r="F110" s="225">
        <f t="shared" si="11"/>
        <v>6453125</v>
      </c>
      <c r="H110" s="226">
        <f t="shared" si="9"/>
        <v>10021730.52</v>
      </c>
    </row>
    <row r="111" spans="1:8" ht="13.5" customHeight="1">
      <c r="A111" s="255" t="s">
        <v>116</v>
      </c>
      <c r="B111" s="40"/>
      <c r="C111" s="64"/>
      <c r="D111" s="66"/>
      <c r="E111" s="66"/>
      <c r="F111" s="66"/>
      <c r="H111" s="67">
        <f t="shared" si="9"/>
        <v>0</v>
      </c>
    </row>
    <row r="112" spans="1:8" ht="13.5" customHeight="1">
      <c r="A112" s="260"/>
      <c r="B112" s="40" t="s">
        <v>117</v>
      </c>
      <c r="C112" s="29">
        <v>0</v>
      </c>
      <c r="D112" s="30">
        <v>204629</v>
      </c>
      <c r="E112" s="30">
        <v>0</v>
      </c>
      <c r="F112" s="30">
        <v>52746</v>
      </c>
      <c r="H112" s="67">
        <f t="shared" si="9"/>
        <v>204629</v>
      </c>
    </row>
    <row r="113" spans="1:8" ht="13.5" customHeight="1">
      <c r="A113" s="260"/>
      <c r="B113" s="40" t="s">
        <v>42</v>
      </c>
      <c r="C113" s="29">
        <f t="shared" ref="C113:D116" si="12">C60</f>
        <v>1228735</v>
      </c>
      <c r="D113" s="29">
        <f t="shared" si="12"/>
        <v>-540273</v>
      </c>
      <c r="E113" s="29">
        <f t="shared" ref="E113" si="13">E60</f>
        <v>202482.49</v>
      </c>
      <c r="F113" s="29">
        <f>F60</f>
        <v>1877371</v>
      </c>
      <c r="H113" s="67">
        <f t="shared" si="9"/>
        <v>890944.49</v>
      </c>
    </row>
    <row r="114" spans="1:8" ht="13.5" customHeight="1">
      <c r="A114" s="260"/>
      <c r="B114" s="40" t="s">
        <v>220</v>
      </c>
      <c r="C114" s="29">
        <f t="shared" si="12"/>
        <v>-1114090</v>
      </c>
      <c r="D114" s="29">
        <f t="shared" si="12"/>
        <v>-2817682</v>
      </c>
      <c r="E114" s="29">
        <f t="shared" ref="E114" si="14">E61</f>
        <v>-1936560.96</v>
      </c>
      <c r="F114" s="29">
        <f>F61</f>
        <v>0</v>
      </c>
      <c r="H114" s="67">
        <f t="shared" si="9"/>
        <v>-5868332.96</v>
      </c>
    </row>
    <row r="115" spans="1:8" ht="13.5" customHeight="1">
      <c r="A115" s="260"/>
      <c r="B115" s="40" t="s">
        <v>43</v>
      </c>
      <c r="C115" s="29">
        <f t="shared" si="12"/>
        <v>0</v>
      </c>
      <c r="D115" s="29">
        <f t="shared" si="12"/>
        <v>0</v>
      </c>
      <c r="E115" s="29">
        <f t="shared" ref="E115" si="15">E62</f>
        <v>0</v>
      </c>
      <c r="F115" s="29">
        <f>F62</f>
        <v>0</v>
      </c>
      <c r="H115" s="67">
        <f t="shared" si="9"/>
        <v>0</v>
      </c>
    </row>
    <row r="116" spans="1:8" ht="13.5" customHeight="1">
      <c r="A116" s="260"/>
      <c r="B116" s="40" t="s">
        <v>118</v>
      </c>
      <c r="C116" s="29">
        <f t="shared" si="12"/>
        <v>2087805</v>
      </c>
      <c r="D116" s="29">
        <f t="shared" si="12"/>
        <v>2422232</v>
      </c>
      <c r="E116" s="29">
        <f t="shared" ref="E116" si="16">E63</f>
        <v>24727079.089999992</v>
      </c>
      <c r="F116" s="29">
        <f>F63</f>
        <v>3205895</v>
      </c>
      <c r="H116" s="67">
        <f t="shared" si="9"/>
        <v>29237116.089999992</v>
      </c>
    </row>
    <row r="117" spans="1:8" ht="13.5" customHeight="1">
      <c r="A117" s="269"/>
      <c r="B117" s="71" t="s">
        <v>106</v>
      </c>
      <c r="C117" s="72">
        <v>-1</v>
      </c>
      <c r="D117" s="74">
        <v>0</v>
      </c>
      <c r="E117" s="74">
        <v>0</v>
      </c>
      <c r="F117" s="30">
        <v>1</v>
      </c>
      <c r="H117" s="67">
        <f t="shared" si="9"/>
        <v>-1</v>
      </c>
    </row>
    <row r="118" spans="1:8" s="33" customFormat="1" ht="13.5" customHeight="1">
      <c r="A118" s="268" t="s">
        <v>46</v>
      </c>
      <c r="B118" s="75"/>
      <c r="C118" s="76">
        <f t="shared" ref="C118:F118" si="17">SUM(C112:C117)</f>
        <v>2202449</v>
      </c>
      <c r="D118" s="76">
        <f t="shared" si="17"/>
        <v>-731094</v>
      </c>
      <c r="E118" s="76">
        <f t="shared" si="17"/>
        <v>22993000.619999994</v>
      </c>
      <c r="F118" s="76">
        <f t="shared" si="17"/>
        <v>5136013</v>
      </c>
      <c r="H118" s="69">
        <f t="shared" si="9"/>
        <v>24464355.619999994</v>
      </c>
    </row>
    <row r="119" spans="1:8" s="56" customFormat="1">
      <c r="A119" s="263" t="s">
        <v>219</v>
      </c>
      <c r="B119" s="224"/>
      <c r="C119" s="225">
        <f t="shared" ref="C119:F119" si="18">SUM(C110:C117)</f>
        <v>4343706</v>
      </c>
      <c r="D119" s="225">
        <f t="shared" si="18"/>
        <v>3886541</v>
      </c>
      <c r="E119" s="225">
        <f t="shared" si="18"/>
        <v>26255839.139999993</v>
      </c>
      <c r="F119" s="225">
        <f t="shared" si="18"/>
        <v>11589138</v>
      </c>
      <c r="H119" s="226">
        <f t="shared" si="9"/>
        <v>34486086.139999993</v>
      </c>
    </row>
    <row r="120" spans="1:8" hidden="1">
      <c r="A120" s="79"/>
      <c r="B120" s="70" t="s">
        <v>88</v>
      </c>
      <c r="C120" s="145">
        <f>+C119-C97</f>
        <v>0</v>
      </c>
      <c r="D120" s="145">
        <f>+D119-D97</f>
        <v>0</v>
      </c>
      <c r="E120" s="145">
        <f>+E119-E97</f>
        <v>0</v>
      </c>
      <c r="F120" s="145">
        <f>+F119-F97</f>
        <v>0</v>
      </c>
    </row>
    <row r="121" spans="1:8">
      <c r="A121" s="79"/>
      <c r="B121" s="101"/>
      <c r="C121" s="102"/>
      <c r="D121" s="103"/>
      <c r="E121" s="103"/>
      <c r="F121" s="220"/>
    </row>
    <row r="122" spans="1:8" ht="39" customHeight="1">
      <c r="A122" s="360" t="s">
        <v>119</v>
      </c>
      <c r="B122" s="361"/>
      <c r="C122" s="354">
        <f>C55/(C31)</f>
        <v>0.24370153470366834</v>
      </c>
      <c r="D122" s="354">
        <f>D55/(D31)</f>
        <v>2.2237525436142817E-2</v>
      </c>
      <c r="E122" s="354">
        <f>E55/(E31)</f>
        <v>0.96222382339339718</v>
      </c>
      <c r="F122" s="354">
        <f>F55/(F31)</f>
        <v>-2.086343268846079E-2</v>
      </c>
    </row>
    <row r="123" spans="1:8" ht="24">
      <c r="A123" s="257"/>
      <c r="B123" s="299" t="s">
        <v>120</v>
      </c>
      <c r="C123" s="354"/>
      <c r="D123" s="354"/>
      <c r="E123" s="354"/>
      <c r="F123" s="354"/>
    </row>
    <row r="124" spans="1:8" ht="14.25">
      <c r="A124" s="300" t="s">
        <v>194</v>
      </c>
      <c r="B124" s="301"/>
      <c r="C124" s="351">
        <f>(SUM(C83:C84))/SUM(C99:C104)</f>
        <v>3.0706805255932537</v>
      </c>
      <c r="D124" s="351">
        <f>(SUM(D83:D84))/SUM(D99:D104)</f>
        <v>1.3018713481426272</v>
      </c>
      <c r="E124" s="351">
        <f>(SUM(E83:E84))/SUM(E99:E104)</f>
        <v>1.8364116797651739</v>
      </c>
      <c r="F124" s="351">
        <f>(SUM(F83:F84))/SUM(F99:F104)</f>
        <v>0.45653988056730277</v>
      </c>
    </row>
    <row r="125" spans="1:8" ht="36">
      <c r="A125" s="302"/>
      <c r="B125" s="303" t="s">
        <v>195</v>
      </c>
      <c r="C125" s="352"/>
      <c r="D125" s="352"/>
      <c r="E125" s="352"/>
      <c r="F125" s="352"/>
    </row>
    <row r="126" spans="1:8" ht="14.25">
      <c r="A126" s="300" t="s">
        <v>196</v>
      </c>
      <c r="B126" s="301"/>
      <c r="C126" s="351">
        <f>(SUM(C83:C84))/SUM(C99:C105)</f>
        <v>2.5198721408728293</v>
      </c>
      <c r="D126" s="351">
        <f>(SUM(D83:D84))/SUM(D99:D105)</f>
        <v>0.69966800757153758</v>
      </c>
      <c r="E126" s="351">
        <f>(SUM(E83:E84))/SUM(E99:E105)</f>
        <v>1.8364116797651739</v>
      </c>
      <c r="F126" s="351">
        <f>(SUM(F83:F84))/SUM(F99:F105)</f>
        <v>0.43438152923538231</v>
      </c>
    </row>
    <row r="127" spans="1:8" ht="24">
      <c r="A127" s="302"/>
      <c r="B127" s="303" t="s">
        <v>197</v>
      </c>
      <c r="C127" s="352"/>
      <c r="D127" s="352"/>
      <c r="E127" s="352"/>
      <c r="F127" s="352"/>
    </row>
    <row r="128" spans="1:8" s="173" customFormat="1" ht="8.1" customHeight="1">
      <c r="A128" s="174"/>
      <c r="B128" s="175"/>
      <c r="C128" s="176"/>
      <c r="D128" s="176"/>
      <c r="E128" s="176"/>
      <c r="F128" s="177"/>
    </row>
    <row r="129" spans="1:7">
      <c r="A129" s="304" t="s">
        <v>121</v>
      </c>
      <c r="B129" s="75"/>
      <c r="C129" s="353">
        <f>C110/C97</f>
        <v>0.49295624519707365</v>
      </c>
      <c r="D129" s="353">
        <f>D110/D97</f>
        <v>1.1881091695674895</v>
      </c>
      <c r="E129" s="353">
        <f>E110/E97</f>
        <v>0.12427096702573723</v>
      </c>
      <c r="F129" s="353">
        <f>F110/F97</f>
        <v>0.55682527898105971</v>
      </c>
    </row>
    <row r="130" spans="1:7" ht="25.5">
      <c r="A130" s="257"/>
      <c r="B130" s="305" t="s">
        <v>122</v>
      </c>
      <c r="C130" s="353"/>
      <c r="D130" s="353"/>
      <c r="E130" s="353"/>
      <c r="F130" s="353"/>
    </row>
    <row r="131" spans="1:7">
      <c r="A131" s="304" t="s">
        <v>123</v>
      </c>
      <c r="B131" s="306"/>
      <c r="C131" s="353">
        <f>C118/C97</f>
        <v>0.50704375480292629</v>
      </c>
      <c r="D131" s="353">
        <f>D118/D97</f>
        <v>-0.18810916956748944</v>
      </c>
      <c r="E131" s="353">
        <f>E118/E97</f>
        <v>0.87572903297426274</v>
      </c>
      <c r="F131" s="353">
        <f>F118/F97</f>
        <v>0.44317472101894034</v>
      </c>
    </row>
    <row r="132" spans="1:7" ht="24">
      <c r="A132" s="257"/>
      <c r="B132" s="299" t="s">
        <v>124</v>
      </c>
      <c r="C132" s="353"/>
      <c r="D132" s="353"/>
      <c r="E132" s="353"/>
      <c r="F132" s="353"/>
    </row>
    <row r="133" spans="1:7">
      <c r="A133" s="362" t="s">
        <v>125</v>
      </c>
      <c r="B133" s="363"/>
      <c r="C133" s="353">
        <f>C110/C118</f>
        <v>0.97221638276300604</v>
      </c>
      <c r="D133" s="353">
        <f>D110/D118</f>
        <v>-6.3160619564652425</v>
      </c>
      <c r="E133" s="353">
        <f>E110/E118</f>
        <v>0.14190572922273947</v>
      </c>
      <c r="F133" s="353">
        <f>F110/F118</f>
        <v>1.2564463913934798</v>
      </c>
    </row>
    <row r="134" spans="1:7">
      <c r="A134" s="257"/>
      <c r="B134" s="299" t="s">
        <v>126</v>
      </c>
      <c r="C134" s="353"/>
      <c r="D134" s="353"/>
      <c r="E134" s="353"/>
      <c r="F134" s="353"/>
    </row>
    <row r="135" spans="1:7" s="173" customFormat="1" ht="8.1" customHeight="1">
      <c r="A135" s="178"/>
      <c r="B135" s="179"/>
      <c r="C135" s="179"/>
      <c r="D135" s="179"/>
      <c r="E135" s="179"/>
      <c r="F135" s="185"/>
    </row>
    <row r="136" spans="1:7">
      <c r="A136" s="268" t="s">
        <v>127</v>
      </c>
      <c r="B136" s="34"/>
      <c r="C136" s="66">
        <v>10</v>
      </c>
      <c r="D136" s="66">
        <v>24</v>
      </c>
      <c r="E136" s="66">
        <v>0</v>
      </c>
      <c r="F136" s="66">
        <v>68</v>
      </c>
      <c r="G136" s="96">
        <f>AVERAGE(C136:F136)</f>
        <v>25.5</v>
      </c>
    </row>
    <row r="137" spans="1:7" s="173" customFormat="1" ht="8.1" customHeight="1">
      <c r="A137" s="184"/>
      <c r="B137" s="179"/>
      <c r="C137" s="179"/>
      <c r="D137" s="179"/>
      <c r="E137" s="179"/>
      <c r="F137" s="185"/>
      <c r="G137" s="189"/>
    </row>
    <row r="138" spans="1:7">
      <c r="A138" s="307" t="s">
        <v>128</v>
      </c>
      <c r="B138" s="307"/>
      <c r="C138" s="186">
        <v>22984</v>
      </c>
      <c r="D138" s="186">
        <v>195291</v>
      </c>
      <c r="E138" s="310" t="s">
        <v>234</v>
      </c>
      <c r="F138" s="186">
        <v>78698</v>
      </c>
      <c r="G138" s="45">
        <f>AVERAGE(C138:F138)</f>
        <v>98991</v>
      </c>
    </row>
    <row r="139" spans="1:7">
      <c r="A139" s="307" t="s">
        <v>129</v>
      </c>
      <c r="B139" s="307"/>
      <c r="C139" s="186">
        <v>2322</v>
      </c>
      <c r="D139" s="186">
        <v>104202</v>
      </c>
      <c r="E139" s="310" t="s">
        <v>234</v>
      </c>
      <c r="F139" s="186">
        <v>32052</v>
      </c>
      <c r="G139" s="45">
        <f>AVERAGE(C139:F139)</f>
        <v>46192</v>
      </c>
    </row>
    <row r="140" spans="1:7">
      <c r="A140" s="307" t="s">
        <v>130</v>
      </c>
      <c r="B140" s="307"/>
      <c r="C140" s="186">
        <v>25306</v>
      </c>
      <c r="D140" s="186">
        <v>299493</v>
      </c>
      <c r="E140" s="310" t="s">
        <v>234</v>
      </c>
      <c r="F140" s="186">
        <v>110750</v>
      </c>
      <c r="G140" s="45">
        <f>AVERAGE(C140:F140)</f>
        <v>145183</v>
      </c>
    </row>
    <row r="141" spans="1:7">
      <c r="A141" s="20" t="s">
        <v>182</v>
      </c>
    </row>
    <row r="143" spans="1:7">
      <c r="A143" s="221"/>
      <c r="B143" s="63"/>
      <c r="C143" s="1"/>
      <c r="D143" s="1"/>
      <c r="E143" s="250"/>
    </row>
    <row r="144" spans="1:7">
      <c r="A144" s="221"/>
      <c r="B144" s="63"/>
      <c r="C144" s="165"/>
      <c r="D144" s="165"/>
      <c r="E144" s="165"/>
    </row>
  </sheetData>
  <mergeCells count="32">
    <mergeCell ref="A133:B133"/>
    <mergeCell ref="A1:B3"/>
    <mergeCell ref="C2:C3"/>
    <mergeCell ref="D2:D3"/>
    <mergeCell ref="E2:E3"/>
    <mergeCell ref="C126:C127"/>
    <mergeCell ref="C129:C130"/>
    <mergeCell ref="C131:C132"/>
    <mergeCell ref="C133:C134"/>
    <mergeCell ref="D126:D127"/>
    <mergeCell ref="E126:E127"/>
    <mergeCell ref="D133:D134"/>
    <mergeCell ref="E133:E134"/>
    <mergeCell ref="F2:F3"/>
    <mergeCell ref="A122:B122"/>
    <mergeCell ref="A77:B78"/>
    <mergeCell ref="C122:C123"/>
    <mergeCell ref="C124:C125"/>
    <mergeCell ref="D122:D123"/>
    <mergeCell ref="E122:E123"/>
    <mergeCell ref="F122:F123"/>
    <mergeCell ref="D124:D125"/>
    <mergeCell ref="E124:E125"/>
    <mergeCell ref="F124:F125"/>
    <mergeCell ref="F133:F134"/>
    <mergeCell ref="F126:F127"/>
    <mergeCell ref="D129:D130"/>
    <mergeCell ref="E129:E130"/>
    <mergeCell ref="F129:F130"/>
    <mergeCell ref="D131:D132"/>
    <mergeCell ref="E131:E132"/>
    <mergeCell ref="F131:F132"/>
  </mergeCells>
  <conditionalFormatting sqref="C122:D123">
    <cfRule type="cellIs" dxfId="13" priority="10" operator="lessThan">
      <formula>0</formula>
    </cfRule>
  </conditionalFormatting>
  <conditionalFormatting sqref="F122:F123">
    <cfRule type="cellIs" dxfId="12" priority="8" operator="lessThan">
      <formula>0</formula>
    </cfRule>
  </conditionalFormatting>
  <conditionalFormatting sqref="F65">
    <cfRule type="cellIs" dxfId="11" priority="7" operator="lessThan">
      <formula>0</formula>
    </cfRule>
  </conditionalFormatting>
  <conditionalFormatting sqref="C65">
    <cfRule type="cellIs" dxfId="10" priority="6" operator="lessThan">
      <formula>0</formula>
    </cfRule>
  </conditionalFormatting>
  <conditionalFormatting sqref="D65">
    <cfRule type="cellIs" dxfId="9" priority="5" operator="lessThan">
      <formula>0</formula>
    </cfRule>
  </conditionalFormatting>
  <conditionalFormatting sqref="E122:E123">
    <cfRule type="cellIs" dxfId="8" priority="2" operator="lessThan">
      <formula>0</formula>
    </cfRule>
  </conditionalFormatting>
  <conditionalFormatting sqref="E65">
    <cfRule type="cellIs" dxfId="7" priority="1" operator="lessThan">
      <formula>0</formula>
    </cfRule>
  </conditionalFormatting>
  <printOptions horizontalCentered="1"/>
  <pageMargins left="0.5" right="0.5" top="0.75" bottom="0.35" header="0.5" footer="0.15"/>
  <pageSetup scale="66" orientation="portrait" r:id="rId1"/>
  <headerFooter alignWithMargins="0">
    <oddHeader>&amp;C&amp;"Arial,Bold"&amp;14CLASS V FAIRS</oddHeader>
    <oddFooter xml:space="preserve">&amp;CFairs and Expositions&amp;R
</oddFooter>
  </headerFooter>
  <rowBreaks count="1" manualBreakCount="1">
    <brk id="76" max="5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44"/>
  <sheetViews>
    <sheetView view="pageBreakPreview" zoomScale="85" zoomScaleNormal="100" zoomScaleSheetLayoutView="85" workbookViewId="0">
      <selection activeCell="G1" sqref="G1"/>
    </sheetView>
  </sheetViews>
  <sheetFormatPr defaultRowHeight="12.75"/>
  <cols>
    <col min="1" max="1" width="4.7109375" style="20" customWidth="1"/>
    <col min="2" max="2" width="56.42578125" style="20" customWidth="1"/>
    <col min="3" max="3" width="12.7109375" style="20" customWidth="1"/>
    <col min="4" max="4" width="12.7109375" style="337" customWidth="1"/>
    <col min="5" max="7" width="12.7109375" style="20" customWidth="1"/>
    <col min="8" max="8" width="14.85546875" style="20" customWidth="1"/>
    <col min="9" max="9" width="17.85546875" style="107" customWidth="1"/>
    <col min="10" max="16384" width="9.140625" style="20"/>
  </cols>
  <sheetData>
    <row r="1" spans="1:14" ht="12" customHeight="1">
      <c r="A1" s="356"/>
      <c r="B1" s="357"/>
      <c r="C1" s="252"/>
      <c r="D1" s="313"/>
      <c r="E1" s="252"/>
      <c r="F1" s="252"/>
      <c r="G1" s="252"/>
    </row>
    <row r="2" spans="1:14" ht="12" customHeight="1">
      <c r="A2" s="374"/>
      <c r="B2" s="375"/>
      <c r="C2" s="367" t="s">
        <v>183</v>
      </c>
      <c r="D2" s="387" t="s">
        <v>231</v>
      </c>
      <c r="E2" s="367" t="s">
        <v>184</v>
      </c>
      <c r="F2" s="367" t="s">
        <v>185</v>
      </c>
      <c r="G2" s="367" t="s">
        <v>224</v>
      </c>
    </row>
    <row r="3" spans="1:14" ht="69" customHeight="1">
      <c r="A3" s="374"/>
      <c r="B3" s="375"/>
      <c r="C3" s="367"/>
      <c r="D3" s="387"/>
      <c r="E3" s="367"/>
      <c r="F3" s="367"/>
      <c r="G3" s="367"/>
      <c r="I3" s="20" t="s">
        <v>41</v>
      </c>
    </row>
    <row r="4" spans="1:14" ht="13.5" customHeight="1">
      <c r="A4" s="312" t="s">
        <v>205</v>
      </c>
      <c r="B4" s="312"/>
      <c r="C4" s="65"/>
      <c r="D4" s="314"/>
      <c r="E4" s="65"/>
      <c r="F4" s="25"/>
      <c r="G4" s="25"/>
      <c r="H4" s="65"/>
      <c r="I4" s="128"/>
      <c r="J4" s="65"/>
      <c r="K4" s="65"/>
      <c r="L4" s="65"/>
      <c r="M4" s="65"/>
      <c r="N4" s="65"/>
    </row>
    <row r="5" spans="1:14" ht="13.5" customHeight="1">
      <c r="A5" s="260"/>
      <c r="B5" s="36" t="s">
        <v>42</v>
      </c>
      <c r="C5" s="249">
        <v>2409175</v>
      </c>
      <c r="D5" s="343">
        <v>1699127</v>
      </c>
      <c r="E5" s="249">
        <v>109728</v>
      </c>
      <c r="F5" s="249">
        <v>5033330</v>
      </c>
      <c r="G5" s="249">
        <v>-696358</v>
      </c>
    </row>
    <row r="6" spans="1:14" ht="13.5" customHeight="1">
      <c r="A6" s="260"/>
      <c r="B6" s="28" t="s">
        <v>43</v>
      </c>
      <c r="C6" s="38">
        <v>0</v>
      </c>
      <c r="D6" s="316">
        <v>0</v>
      </c>
      <c r="E6" s="38">
        <v>0</v>
      </c>
      <c r="F6" s="38">
        <v>0</v>
      </c>
      <c r="G6" s="42">
        <v>14576</v>
      </c>
    </row>
    <row r="7" spans="1:14" s="51" customFormat="1" ht="13.5" customHeight="1">
      <c r="A7" s="255"/>
      <c r="B7" s="22" t="s">
        <v>44</v>
      </c>
      <c r="C7" s="42">
        <v>9312243</v>
      </c>
      <c r="D7" s="315">
        <v>8728706</v>
      </c>
      <c r="E7" s="42">
        <v>5648159</v>
      </c>
      <c r="F7" s="42">
        <v>5876828</v>
      </c>
      <c r="G7" s="42">
        <v>9878051</v>
      </c>
      <c r="I7" s="133"/>
    </row>
    <row r="8" spans="1:14" s="51" customFormat="1" ht="13.5" customHeight="1">
      <c r="A8" s="255"/>
      <c r="B8" s="22" t="s">
        <v>45</v>
      </c>
      <c r="C8" s="42"/>
      <c r="D8" s="315"/>
      <c r="E8" s="42"/>
      <c r="F8" s="42">
        <v>-281728</v>
      </c>
      <c r="G8" s="42">
        <v>-1019852.49</v>
      </c>
      <c r="I8" s="107">
        <f>SUM(C8:E8)</f>
        <v>0</v>
      </c>
    </row>
    <row r="9" spans="1:14" s="54" customFormat="1" ht="13.5" customHeight="1" thickBot="1">
      <c r="A9" s="256"/>
      <c r="B9" s="115" t="s">
        <v>46</v>
      </c>
      <c r="C9" s="78">
        <f>SUM(C5:C8)</f>
        <v>11721418</v>
      </c>
      <c r="D9" s="317">
        <f>SUM(D5:D8)</f>
        <v>10427833</v>
      </c>
      <c r="E9" s="78">
        <f>SUM(E5:E8)</f>
        <v>5757887</v>
      </c>
      <c r="F9" s="78">
        <f>SUM(F5:F8)</f>
        <v>10628430</v>
      </c>
      <c r="G9" s="78">
        <f>SUM(G5:G8)</f>
        <v>8176416.5099999998</v>
      </c>
      <c r="I9" s="107">
        <f>SUM(C9:E9)</f>
        <v>27907138</v>
      </c>
    </row>
    <row r="10" spans="1:14" s="33" customFormat="1" ht="13.5" customHeight="1">
      <c r="A10" s="257" t="s">
        <v>47</v>
      </c>
      <c r="B10" s="47"/>
      <c r="C10" s="53"/>
      <c r="D10" s="315"/>
      <c r="E10" s="53"/>
      <c r="F10" s="53"/>
      <c r="G10" s="53"/>
      <c r="I10" s="91"/>
    </row>
    <row r="11" spans="1:14" s="33" customFormat="1" ht="13.5" customHeight="1">
      <c r="A11" s="258"/>
      <c r="B11" s="34" t="s">
        <v>48</v>
      </c>
      <c r="C11" s="35">
        <v>0</v>
      </c>
      <c r="D11" s="318">
        <v>0</v>
      </c>
      <c r="E11" s="35">
        <v>0</v>
      </c>
      <c r="F11" s="35">
        <v>0</v>
      </c>
      <c r="G11" s="35">
        <v>0</v>
      </c>
      <c r="I11" s="107">
        <f>SUM(C11:E11)</f>
        <v>0</v>
      </c>
    </row>
    <row r="12" spans="1:14" s="33" customFormat="1" ht="13.5" customHeight="1">
      <c r="A12" s="258"/>
      <c r="B12" s="34" t="s">
        <v>49</v>
      </c>
      <c r="C12" s="35">
        <v>0</v>
      </c>
      <c r="D12" s="318">
        <v>10000</v>
      </c>
      <c r="E12" s="35">
        <v>0</v>
      </c>
      <c r="F12" s="35">
        <v>0</v>
      </c>
      <c r="G12" s="35">
        <v>183199</v>
      </c>
      <c r="I12" s="107">
        <f>SUM(C12:E12)</f>
        <v>10000</v>
      </c>
    </row>
    <row r="13" spans="1:14" s="33" customFormat="1" ht="13.5" customHeight="1" thickBot="1">
      <c r="A13" s="259"/>
      <c r="B13" s="43" t="s">
        <v>50</v>
      </c>
      <c r="C13" s="44">
        <v>0</v>
      </c>
      <c r="D13" s="319">
        <v>0</v>
      </c>
      <c r="E13" s="44">
        <v>0</v>
      </c>
      <c r="F13" s="44">
        <v>0</v>
      </c>
      <c r="G13" s="44">
        <v>0</v>
      </c>
      <c r="I13" s="107">
        <f>SUM(C13:E13)</f>
        <v>0</v>
      </c>
    </row>
    <row r="14" spans="1:14" ht="13.5" customHeight="1">
      <c r="A14" s="254" t="s">
        <v>51</v>
      </c>
      <c r="B14" s="36"/>
      <c r="C14" s="38"/>
      <c r="D14" s="316"/>
      <c r="E14" s="38"/>
      <c r="F14" s="38"/>
      <c r="G14" s="38"/>
    </row>
    <row r="15" spans="1:14" ht="13.5" customHeight="1">
      <c r="A15" s="260"/>
      <c r="B15" s="40" t="s">
        <v>52</v>
      </c>
      <c r="C15" s="41">
        <v>1602738</v>
      </c>
      <c r="D15" s="318">
        <v>2095117</v>
      </c>
      <c r="E15" s="41">
        <v>2018656</v>
      </c>
      <c r="F15" s="41">
        <v>105663</v>
      </c>
      <c r="G15" s="41">
        <v>1589135</v>
      </c>
    </row>
    <row r="16" spans="1:14" ht="13.5" customHeight="1">
      <c r="A16" s="260"/>
      <c r="B16" s="40" t="s">
        <v>53</v>
      </c>
      <c r="C16" s="41">
        <v>367130</v>
      </c>
      <c r="D16" s="318">
        <v>390782</v>
      </c>
      <c r="E16" s="41">
        <v>0</v>
      </c>
      <c r="F16" s="41">
        <v>16771</v>
      </c>
      <c r="G16" s="41">
        <v>430146</v>
      </c>
    </row>
    <row r="17" spans="1:11" ht="13.5" customHeight="1">
      <c r="A17" s="260"/>
      <c r="B17" s="40" t="s">
        <v>54</v>
      </c>
      <c r="C17" s="41">
        <v>580526</v>
      </c>
      <c r="D17" s="318">
        <v>1235000</v>
      </c>
      <c r="E17" s="41">
        <v>1090029</v>
      </c>
      <c r="F17" s="41">
        <v>120900</v>
      </c>
      <c r="G17" s="41">
        <v>687926</v>
      </c>
    </row>
    <row r="18" spans="1:11" ht="13.5" customHeight="1">
      <c r="A18" s="260"/>
      <c r="B18" s="40" t="s">
        <v>55</v>
      </c>
      <c r="C18" s="41">
        <v>1234485</v>
      </c>
      <c r="D18" s="318">
        <v>1903419</v>
      </c>
      <c r="E18" s="41">
        <v>1381397</v>
      </c>
      <c r="F18" s="41">
        <v>60855</v>
      </c>
      <c r="G18" s="41">
        <v>1203563</v>
      </c>
    </row>
    <row r="19" spans="1:11" ht="13.5" customHeight="1">
      <c r="A19" s="260"/>
      <c r="B19" s="40" t="s">
        <v>56</v>
      </c>
      <c r="C19" s="41">
        <v>147666</v>
      </c>
      <c r="D19" s="318">
        <v>63383.47</v>
      </c>
      <c r="E19" s="41">
        <v>32549</v>
      </c>
      <c r="F19" s="41">
        <v>3600</v>
      </c>
      <c r="G19" s="41">
        <v>92752</v>
      </c>
    </row>
    <row r="20" spans="1:11" ht="13.5" customHeight="1">
      <c r="A20" s="260"/>
      <c r="B20" s="40" t="s">
        <v>57</v>
      </c>
      <c r="C20" s="41">
        <v>199260</v>
      </c>
      <c r="D20" s="318">
        <v>0</v>
      </c>
      <c r="E20" s="41">
        <v>18036</v>
      </c>
      <c r="F20" s="41">
        <v>50710</v>
      </c>
      <c r="G20" s="41">
        <v>0</v>
      </c>
    </row>
    <row r="21" spans="1:11" ht="13.5" customHeight="1">
      <c r="A21" s="260"/>
      <c r="B21" s="40" t="s">
        <v>58</v>
      </c>
      <c r="C21" s="42">
        <v>0</v>
      </c>
      <c r="D21" s="315">
        <v>934331</v>
      </c>
      <c r="E21" s="42">
        <v>0</v>
      </c>
      <c r="F21" s="42">
        <v>0</v>
      </c>
      <c r="G21" s="42">
        <v>1698004</v>
      </c>
    </row>
    <row r="22" spans="1:11" ht="13.5" customHeight="1">
      <c r="A22" s="260"/>
      <c r="B22" s="40" t="s">
        <v>59</v>
      </c>
      <c r="C22" s="41">
        <v>0</v>
      </c>
      <c r="D22" s="318">
        <v>460919</v>
      </c>
      <c r="E22" s="41">
        <v>1280993</v>
      </c>
      <c r="F22" s="41">
        <v>1399675</v>
      </c>
      <c r="G22" s="41">
        <v>400121</v>
      </c>
    </row>
    <row r="23" spans="1:11" ht="13.5" customHeight="1">
      <c r="A23" s="260"/>
      <c r="B23" s="40" t="s">
        <v>60</v>
      </c>
      <c r="C23" s="41">
        <v>4668465</v>
      </c>
      <c r="D23" s="318">
        <v>0</v>
      </c>
      <c r="E23" s="41">
        <v>30693</v>
      </c>
      <c r="F23" s="41">
        <v>0</v>
      </c>
      <c r="G23" s="41">
        <v>211760</v>
      </c>
    </row>
    <row r="24" spans="1:11" ht="13.5" customHeight="1">
      <c r="A24" s="260"/>
      <c r="B24" s="40" t="s">
        <v>61</v>
      </c>
      <c r="C24" s="41">
        <v>0</v>
      </c>
      <c r="D24" s="318">
        <v>0</v>
      </c>
      <c r="E24" s="41">
        <v>0</v>
      </c>
      <c r="F24" s="41">
        <v>0</v>
      </c>
      <c r="G24" s="41">
        <v>0</v>
      </c>
    </row>
    <row r="25" spans="1:11" ht="13.5" customHeight="1">
      <c r="A25" s="260"/>
      <c r="B25" s="40" t="s">
        <v>62</v>
      </c>
      <c r="C25" s="41">
        <v>0</v>
      </c>
      <c r="D25" s="318">
        <v>0</v>
      </c>
      <c r="E25" s="41">
        <v>0</v>
      </c>
      <c r="F25" s="41">
        <v>0</v>
      </c>
      <c r="G25" s="41">
        <v>0</v>
      </c>
    </row>
    <row r="26" spans="1:11" ht="13.5" customHeight="1">
      <c r="A26" s="260"/>
      <c r="B26" s="40" t="s">
        <v>63</v>
      </c>
      <c r="C26" s="41">
        <v>794117</v>
      </c>
      <c r="D26" s="318">
        <v>3164045.51</v>
      </c>
      <c r="E26" s="41">
        <v>852760</v>
      </c>
      <c r="F26" s="41">
        <v>13762</v>
      </c>
      <c r="G26" s="41">
        <v>876626</v>
      </c>
      <c r="I26" s="146"/>
    </row>
    <row r="27" spans="1:11" ht="13.5" customHeight="1">
      <c r="A27" s="260"/>
      <c r="B27" s="40" t="s">
        <v>151</v>
      </c>
      <c r="C27" s="41">
        <v>0</v>
      </c>
      <c r="D27" s="318">
        <v>0</v>
      </c>
      <c r="E27" s="41">
        <v>0</v>
      </c>
      <c r="F27" s="41">
        <v>0</v>
      </c>
      <c r="G27" s="41">
        <v>208539</v>
      </c>
    </row>
    <row r="28" spans="1:11" ht="13.5" customHeight="1">
      <c r="A28" s="260"/>
      <c r="B28" s="40" t="s">
        <v>65</v>
      </c>
      <c r="C28" s="41">
        <v>894774</v>
      </c>
      <c r="D28" s="318">
        <v>1501367.06</v>
      </c>
      <c r="E28" s="41">
        <v>1266243</v>
      </c>
      <c r="F28" s="41">
        <v>7620832</v>
      </c>
      <c r="G28" s="41">
        <v>2511378</v>
      </c>
      <c r="I28" s="107">
        <f>SUM(C28:E28)</f>
        <v>3662384.06</v>
      </c>
    </row>
    <row r="29" spans="1:11" ht="13.5" customHeight="1">
      <c r="A29" s="260"/>
      <c r="B29" s="40" t="s">
        <v>66</v>
      </c>
      <c r="C29" s="30">
        <v>10493</v>
      </c>
      <c r="D29" s="318">
        <v>381</v>
      </c>
      <c r="E29" s="30">
        <v>2318</v>
      </c>
      <c r="F29" s="41">
        <v>0</v>
      </c>
      <c r="G29" s="41">
        <v>0</v>
      </c>
      <c r="I29" s="107">
        <f>SUM(C29:E29)</f>
        <v>13192</v>
      </c>
    </row>
    <row r="30" spans="1:11" ht="13.5" customHeight="1">
      <c r="A30" s="260"/>
      <c r="B30" s="40" t="s">
        <v>67</v>
      </c>
      <c r="C30" s="42">
        <v>116151</v>
      </c>
      <c r="D30" s="315">
        <v>9256.02</v>
      </c>
      <c r="E30" s="42">
        <v>135347</v>
      </c>
      <c r="F30" s="42">
        <v>130750</v>
      </c>
      <c r="G30" s="42">
        <v>0</v>
      </c>
      <c r="I30" s="107">
        <f>SUM(C30:E30)</f>
        <v>260754.02000000002</v>
      </c>
      <c r="J30" s="147">
        <f>+I30+I29+I8</f>
        <v>273946.02</v>
      </c>
      <c r="K30" s="20" t="s">
        <v>68</v>
      </c>
    </row>
    <row r="31" spans="1:11" s="33" customFormat="1" ht="13.5" customHeight="1" thickBot="1">
      <c r="A31" s="256" t="s">
        <v>69</v>
      </c>
      <c r="B31" s="43"/>
      <c r="C31" s="44">
        <f>SUM(C15:C30)</f>
        <v>10615805</v>
      </c>
      <c r="D31" s="319">
        <f>SUM(D15:D30)</f>
        <v>11758001.060000001</v>
      </c>
      <c r="E31" s="44">
        <f>SUM(E15:E30)</f>
        <v>8109021</v>
      </c>
      <c r="F31" s="44">
        <f>SUM(F15:F30)</f>
        <v>9523518</v>
      </c>
      <c r="G31" s="44">
        <f>SUM(G15:G30)</f>
        <v>9909950</v>
      </c>
      <c r="H31" s="91">
        <f>AVERAGE(C31:G31)</f>
        <v>9983259.0120000001</v>
      </c>
      <c r="I31" s="91">
        <f>SUM(C31:E31)+SUM(C11:E13)</f>
        <v>30492827.060000002</v>
      </c>
    </row>
    <row r="32" spans="1:11" ht="13.5" customHeight="1">
      <c r="A32" s="254" t="s">
        <v>71</v>
      </c>
      <c r="B32" s="36"/>
      <c r="C32" s="38"/>
      <c r="D32" s="316"/>
      <c r="E32" s="38"/>
      <c r="F32" s="38"/>
      <c r="G32" s="38"/>
    </row>
    <row r="33" spans="1:9" ht="13.5" customHeight="1">
      <c r="A33" s="260"/>
      <c r="B33" s="40" t="s">
        <v>72</v>
      </c>
      <c r="C33" s="41">
        <v>839457</v>
      </c>
      <c r="D33" s="318">
        <v>1652112.61</v>
      </c>
      <c r="E33" s="41">
        <v>1241321</v>
      </c>
      <c r="F33" s="41">
        <v>855351</v>
      </c>
      <c r="G33" s="41">
        <v>1190764</v>
      </c>
      <c r="I33" s="107">
        <f>SUM(C33:E33)</f>
        <v>3732890.6100000003</v>
      </c>
    </row>
    <row r="34" spans="1:9" ht="13.5" customHeight="1">
      <c r="A34" s="260"/>
      <c r="B34" s="40" t="s">
        <v>73</v>
      </c>
      <c r="C34" s="41">
        <v>1723158</v>
      </c>
      <c r="D34" s="318">
        <v>2402119.5499999998</v>
      </c>
      <c r="E34" s="41">
        <v>1596100</v>
      </c>
      <c r="F34" s="41">
        <v>922381</v>
      </c>
      <c r="G34" s="41">
        <v>2184548</v>
      </c>
      <c r="I34" s="107">
        <f>SUM(C34:E34)</f>
        <v>5721377.5499999998</v>
      </c>
    </row>
    <row r="35" spans="1:9" ht="13.5" customHeight="1">
      <c r="A35" s="260"/>
      <c r="B35" s="40" t="s">
        <v>74</v>
      </c>
      <c r="C35" s="41">
        <v>352905</v>
      </c>
      <c r="D35" s="318">
        <v>648415.9</v>
      </c>
      <c r="E35" s="41">
        <v>349084</v>
      </c>
      <c r="F35" s="41">
        <v>80577</v>
      </c>
      <c r="G35" s="41">
        <v>388676</v>
      </c>
    </row>
    <row r="36" spans="1:9" ht="13.5" customHeight="1">
      <c r="A36" s="260"/>
      <c r="B36" s="40" t="s">
        <v>75</v>
      </c>
      <c r="C36" s="41">
        <v>668574</v>
      </c>
      <c r="D36" s="318">
        <v>1517239.84</v>
      </c>
      <c r="E36" s="41">
        <v>838229</v>
      </c>
      <c r="F36" s="41">
        <v>10236</v>
      </c>
      <c r="G36" s="41">
        <v>489461</v>
      </c>
    </row>
    <row r="37" spans="1:9" ht="13.5" customHeight="1">
      <c r="A37" s="260"/>
      <c r="B37" s="40" t="s">
        <v>63</v>
      </c>
      <c r="C37" s="41">
        <v>431224</v>
      </c>
      <c r="D37" s="318">
        <v>465025.9</v>
      </c>
      <c r="E37" s="41">
        <v>827564</v>
      </c>
      <c r="F37" s="41">
        <v>113817</v>
      </c>
      <c r="G37" s="41">
        <v>183245</v>
      </c>
    </row>
    <row r="38" spans="1:9" ht="13.5" customHeight="1">
      <c r="A38" s="260"/>
      <c r="B38" s="40" t="s">
        <v>76</v>
      </c>
      <c r="C38" s="41">
        <v>0</v>
      </c>
      <c r="D38" s="318">
        <v>14026</v>
      </c>
      <c r="E38" s="41">
        <v>0</v>
      </c>
      <c r="F38" s="41">
        <v>0</v>
      </c>
      <c r="G38" s="41">
        <v>153987</v>
      </c>
    </row>
    <row r="39" spans="1:9" ht="13.5" customHeight="1">
      <c r="A39" s="260"/>
      <c r="B39" s="40" t="s">
        <v>77</v>
      </c>
      <c r="C39" s="41">
        <v>75302</v>
      </c>
      <c r="D39" s="318">
        <v>181287.65</v>
      </c>
      <c r="E39" s="41">
        <v>141970</v>
      </c>
      <c r="F39" s="41">
        <v>0</v>
      </c>
      <c r="G39" s="41">
        <v>288447</v>
      </c>
    </row>
    <row r="40" spans="1:9" ht="13.5" customHeight="1">
      <c r="A40" s="260"/>
      <c r="B40" s="40" t="s">
        <v>56</v>
      </c>
      <c r="C40" s="41">
        <v>198592</v>
      </c>
      <c r="D40" s="318">
        <v>731632.53</v>
      </c>
      <c r="E40" s="41">
        <v>339219</v>
      </c>
      <c r="F40" s="41">
        <v>28913</v>
      </c>
      <c r="G40" s="41">
        <v>618637</v>
      </c>
    </row>
    <row r="41" spans="1:9" ht="13.5" customHeight="1">
      <c r="A41" s="260"/>
      <c r="B41" s="40" t="s">
        <v>57</v>
      </c>
      <c r="C41" s="41">
        <v>240120</v>
      </c>
      <c r="D41" s="318">
        <v>0</v>
      </c>
      <c r="E41" s="41">
        <v>28271</v>
      </c>
      <c r="F41" s="41">
        <v>0</v>
      </c>
      <c r="G41" s="41">
        <v>0</v>
      </c>
    </row>
    <row r="42" spans="1:9" ht="13.5" customHeight="1">
      <c r="A42" s="260"/>
      <c r="B42" s="40" t="s">
        <v>58</v>
      </c>
      <c r="C42" s="41">
        <v>0</v>
      </c>
      <c r="D42" s="318">
        <v>928390.2</v>
      </c>
      <c r="E42" s="41">
        <v>0</v>
      </c>
      <c r="F42" s="41">
        <v>0</v>
      </c>
      <c r="G42" s="41">
        <v>1120259</v>
      </c>
    </row>
    <row r="43" spans="1:9" ht="13.5" customHeight="1">
      <c r="A43" s="260"/>
      <c r="B43" s="40" t="s">
        <v>59</v>
      </c>
      <c r="C43" s="41">
        <v>0</v>
      </c>
      <c r="D43" s="318">
        <v>382817.5</v>
      </c>
      <c r="E43" s="41">
        <v>673400</v>
      </c>
      <c r="F43" s="41">
        <v>1599993</v>
      </c>
      <c r="G43" s="41">
        <v>344440</v>
      </c>
    </row>
    <row r="44" spans="1:9" ht="13.5" customHeight="1">
      <c r="A44" s="260"/>
      <c r="B44" s="40" t="s">
        <v>78</v>
      </c>
      <c r="C44" s="41">
        <v>5278075</v>
      </c>
      <c r="D44" s="318">
        <v>2499424.92</v>
      </c>
      <c r="E44" s="41">
        <v>1387839</v>
      </c>
      <c r="F44" s="41">
        <v>169102</v>
      </c>
      <c r="G44" s="41">
        <v>932006</v>
      </c>
    </row>
    <row r="45" spans="1:9" ht="13.5" customHeight="1">
      <c r="A45" s="260"/>
      <c r="B45" s="40" t="s">
        <v>61</v>
      </c>
      <c r="C45" s="41">
        <v>0</v>
      </c>
      <c r="D45" s="318">
        <v>0</v>
      </c>
      <c r="E45" s="41">
        <v>0</v>
      </c>
      <c r="F45" s="41">
        <v>0</v>
      </c>
      <c r="G45" s="41">
        <v>0</v>
      </c>
    </row>
    <row r="46" spans="1:9" ht="13.5" customHeight="1">
      <c r="A46" s="260"/>
      <c r="B46" s="40" t="s">
        <v>79</v>
      </c>
      <c r="C46" s="41">
        <v>0</v>
      </c>
      <c r="D46" s="318">
        <v>409063.03</v>
      </c>
      <c r="E46" s="41">
        <v>0</v>
      </c>
      <c r="F46" s="41">
        <v>4679526</v>
      </c>
      <c r="G46" s="41">
        <v>0</v>
      </c>
    </row>
    <row r="47" spans="1:9" ht="13.5" customHeight="1">
      <c r="A47" s="260"/>
      <c r="B47" s="40" t="s">
        <v>80</v>
      </c>
      <c r="C47" s="41">
        <v>49567</v>
      </c>
      <c r="D47" s="318">
        <v>0</v>
      </c>
      <c r="E47" s="41">
        <v>13413</v>
      </c>
      <c r="F47" s="41">
        <v>0</v>
      </c>
      <c r="G47" s="41">
        <v>0</v>
      </c>
    </row>
    <row r="48" spans="1:9" ht="13.5" customHeight="1">
      <c r="A48" s="260"/>
      <c r="B48" s="40" t="s">
        <v>81</v>
      </c>
      <c r="C48" s="41">
        <v>36939</v>
      </c>
      <c r="D48" s="318">
        <v>-18136.73</v>
      </c>
      <c r="E48" s="41">
        <v>53022</v>
      </c>
      <c r="F48" s="41">
        <v>0</v>
      </c>
      <c r="G48" s="41">
        <v>0</v>
      </c>
    </row>
    <row r="49" spans="1:9" ht="13.5" customHeight="1">
      <c r="A49" s="260"/>
      <c r="B49" s="40" t="s">
        <v>82</v>
      </c>
      <c r="C49" s="41">
        <v>2906</v>
      </c>
      <c r="D49" s="318">
        <v>1694.44</v>
      </c>
      <c r="E49" s="41">
        <v>-580</v>
      </c>
      <c r="F49" s="41">
        <v>0</v>
      </c>
      <c r="G49" s="41">
        <v>0</v>
      </c>
    </row>
    <row r="50" spans="1:9" ht="13.5" customHeight="1">
      <c r="A50" s="260"/>
      <c r="B50" s="40" t="s">
        <v>83</v>
      </c>
      <c r="C50" s="41">
        <v>24054</v>
      </c>
      <c r="D50" s="318">
        <v>0</v>
      </c>
      <c r="E50" s="41">
        <v>0</v>
      </c>
      <c r="F50" s="41">
        <v>0</v>
      </c>
      <c r="G50" s="41">
        <v>1569846</v>
      </c>
    </row>
    <row r="51" spans="1:9" s="33" customFormat="1" ht="13.5" customHeight="1" thickBot="1">
      <c r="A51" s="256" t="s">
        <v>84</v>
      </c>
      <c r="B51" s="43"/>
      <c r="C51" s="44">
        <f>SUM(C33:C50)</f>
        <v>9920873</v>
      </c>
      <c r="D51" s="319">
        <f>SUM(D33:D50)</f>
        <v>11815113.34</v>
      </c>
      <c r="E51" s="44">
        <f>SUM(E33:E50)</f>
        <v>7488852</v>
      </c>
      <c r="F51" s="44">
        <f>SUM(F33:F50)</f>
        <v>8459896</v>
      </c>
      <c r="G51" s="44">
        <f>SUM(G33:G50)</f>
        <v>9464316</v>
      </c>
      <c r="H51" s="91">
        <f>AVERAGE(C51:G51)</f>
        <v>9429810.068</v>
      </c>
      <c r="I51" s="91">
        <f>SUM(C51:E51)+SUM(C53:E53)</f>
        <v>30975993.030000001</v>
      </c>
    </row>
    <row r="52" spans="1:9" ht="13.5" customHeight="1">
      <c r="A52" s="271" t="s">
        <v>85</v>
      </c>
      <c r="B52" s="87"/>
      <c r="C52" s="88"/>
      <c r="D52" s="320"/>
      <c r="E52" s="88"/>
      <c r="F52" s="88"/>
      <c r="G52" s="88"/>
      <c r="H52" s="107"/>
    </row>
    <row r="53" spans="1:9" s="33" customFormat="1" ht="13.5" customHeight="1">
      <c r="A53" s="258"/>
      <c r="B53" s="34" t="s">
        <v>86</v>
      </c>
      <c r="C53" s="35">
        <v>541160</v>
      </c>
      <c r="D53" s="318">
        <v>555400.68999999994</v>
      </c>
      <c r="E53" s="35">
        <v>654594</v>
      </c>
      <c r="F53" s="35">
        <v>858533</v>
      </c>
      <c r="G53" s="35">
        <v>728185</v>
      </c>
      <c r="H53" s="91"/>
      <c r="I53" s="107">
        <f>SUM(C53:E53)</f>
        <v>1751154.69</v>
      </c>
    </row>
    <row r="54" spans="1:9" s="33" customFormat="1" ht="13.5" customHeight="1">
      <c r="A54" s="261"/>
      <c r="B54" s="47" t="s">
        <v>207</v>
      </c>
      <c r="C54" s="35">
        <v>2623161</v>
      </c>
      <c r="D54" s="315"/>
      <c r="E54" s="53">
        <v>5142147</v>
      </c>
      <c r="F54" s="53">
        <v>0</v>
      </c>
      <c r="G54" s="53">
        <v>40210</v>
      </c>
      <c r="H54" s="91"/>
      <c r="I54" s="107">
        <f>SUM(C54:E54)</f>
        <v>7765308</v>
      </c>
    </row>
    <row r="55" spans="1:9" s="33" customFormat="1" ht="13.5" customHeight="1">
      <c r="A55" s="257" t="s">
        <v>208</v>
      </c>
      <c r="B55" s="47"/>
      <c r="C55" s="35">
        <f t="shared" ref="C55:G55" si="0">+C31-C51</f>
        <v>694932</v>
      </c>
      <c r="D55" s="318">
        <f t="shared" si="0"/>
        <v>-57112.279999999329</v>
      </c>
      <c r="E55" s="35">
        <f t="shared" si="0"/>
        <v>620169</v>
      </c>
      <c r="F55" s="35">
        <f t="shared" si="0"/>
        <v>1063622</v>
      </c>
      <c r="G55" s="35">
        <f t="shared" si="0"/>
        <v>445634</v>
      </c>
      <c r="H55" s="91">
        <f>AVERAGE(C55:G55)</f>
        <v>553448.94400000013</v>
      </c>
      <c r="I55" s="91"/>
    </row>
    <row r="56" spans="1:9" s="33" customFormat="1" ht="13.5" customHeight="1">
      <c r="A56" s="257" t="s">
        <v>209</v>
      </c>
      <c r="B56" s="47"/>
      <c r="C56" s="35">
        <f>+C31-C51-C53-C54</f>
        <v>-2469389</v>
      </c>
      <c r="D56" s="318">
        <f t="shared" ref="D56:G56" si="1">+D31-D51-D53-D54</f>
        <v>-612512.96999999927</v>
      </c>
      <c r="E56" s="35">
        <f t="shared" si="1"/>
        <v>-5176572</v>
      </c>
      <c r="F56" s="35">
        <f t="shared" si="1"/>
        <v>205089</v>
      </c>
      <c r="G56" s="35">
        <f t="shared" si="1"/>
        <v>-322761</v>
      </c>
      <c r="H56" s="91">
        <f>AVERAGE(C56:G56)</f>
        <v>-1675229.1939999997</v>
      </c>
      <c r="I56" s="91"/>
    </row>
    <row r="57" spans="1:9" s="33" customFormat="1" ht="13.5" customHeight="1">
      <c r="A57" s="257" t="s">
        <v>210</v>
      </c>
      <c r="B57" s="47"/>
      <c r="C57" s="35">
        <f t="shared" ref="C57:G57" si="2">+C11+C12+C13+C31+-C51</f>
        <v>694932</v>
      </c>
      <c r="D57" s="318">
        <f t="shared" si="2"/>
        <v>-47112.279999999329</v>
      </c>
      <c r="E57" s="35">
        <f t="shared" si="2"/>
        <v>620169</v>
      </c>
      <c r="F57" s="35">
        <f t="shared" si="2"/>
        <v>1063622</v>
      </c>
      <c r="G57" s="35">
        <f t="shared" si="2"/>
        <v>628833</v>
      </c>
      <c r="H57" s="91">
        <f>AVERAGE(C57:G57)</f>
        <v>592088.74400000018</v>
      </c>
      <c r="I57" s="91"/>
    </row>
    <row r="58" spans="1:9" s="33" customFormat="1" ht="13.5" customHeight="1">
      <c r="A58" s="257" t="s">
        <v>211</v>
      </c>
      <c r="B58" s="47"/>
      <c r="C58" s="35">
        <f>+C11+C12+C13+C31-C51-C53-C54</f>
        <v>-2469389</v>
      </c>
      <c r="D58" s="318">
        <f t="shared" ref="D58:G58" si="3">+D11+D12+D13+D31-D51-D53-D54</f>
        <v>-602512.96999999927</v>
      </c>
      <c r="E58" s="35">
        <f t="shared" si="3"/>
        <v>-5176572</v>
      </c>
      <c r="F58" s="35">
        <f t="shared" si="3"/>
        <v>205089</v>
      </c>
      <c r="G58" s="35">
        <f t="shared" si="3"/>
        <v>-139562</v>
      </c>
      <c r="H58" s="91">
        <f>AVERAGE(C58:G58)</f>
        <v>-1636589.3939999999</v>
      </c>
      <c r="I58" s="91">
        <f>SUM(C58:E58)</f>
        <v>-8248473.9699999988</v>
      </c>
    </row>
    <row r="59" spans="1:9" ht="13.5" customHeight="1">
      <c r="A59" s="255" t="s">
        <v>206</v>
      </c>
      <c r="B59" s="22"/>
      <c r="C59" s="48"/>
      <c r="D59" s="321"/>
      <c r="E59" s="50"/>
      <c r="F59" s="50"/>
      <c r="G59" s="50"/>
    </row>
    <row r="60" spans="1:9" s="60" customFormat="1" ht="13.5" customHeight="1">
      <c r="A60" s="262"/>
      <c r="B60" s="238" t="s">
        <v>42</v>
      </c>
      <c r="C60" s="27">
        <v>2485101</v>
      </c>
      <c r="D60" s="315">
        <v>1291410.33</v>
      </c>
      <c r="E60" s="27">
        <v>-23384</v>
      </c>
      <c r="F60" s="27">
        <v>5442544</v>
      </c>
      <c r="G60" s="27">
        <v>-200752.87000000104</v>
      </c>
      <c r="H60" s="241">
        <f>SUM(C60:G60)/5</f>
        <v>1798983.6919999998</v>
      </c>
      <c r="I60" s="241"/>
    </row>
    <row r="61" spans="1:9" s="60" customFormat="1" ht="13.5" customHeight="1">
      <c r="A61" s="262"/>
      <c r="B61" s="238" t="s">
        <v>220</v>
      </c>
      <c r="C61" s="27">
        <v>-2429310</v>
      </c>
      <c r="D61" s="315">
        <v>0</v>
      </c>
      <c r="E61" s="27">
        <v>-4692009</v>
      </c>
      <c r="F61" s="27">
        <v>-288812</v>
      </c>
      <c r="G61" s="27">
        <v>-1209759</v>
      </c>
      <c r="H61" s="241"/>
      <c r="I61" s="241"/>
    </row>
    <row r="62" spans="1:9" s="60" customFormat="1">
      <c r="A62" s="262"/>
      <c r="B62" s="238" t="s">
        <v>43</v>
      </c>
      <c r="C62" s="27">
        <v>0</v>
      </c>
      <c r="D62" s="315">
        <v>0</v>
      </c>
      <c r="E62" s="27">
        <v>0</v>
      </c>
      <c r="F62" s="27">
        <v>0</v>
      </c>
      <c r="G62" s="27">
        <v>12004.26</v>
      </c>
      <c r="H62" s="241">
        <f>MAX(C60:G60)</f>
        <v>5442544</v>
      </c>
      <c r="I62" s="241"/>
    </row>
    <row r="63" spans="1:9" s="240" customFormat="1" ht="13.5" customHeight="1">
      <c r="A63" s="262"/>
      <c r="B63" s="238" t="s">
        <v>44</v>
      </c>
      <c r="C63" s="27">
        <v>9196239</v>
      </c>
      <c r="D63" s="315">
        <v>8533909.0099999979</v>
      </c>
      <c r="E63" s="27">
        <v>5296709</v>
      </c>
      <c r="F63" s="27">
        <v>5679787</v>
      </c>
      <c r="G63" s="27">
        <v>9435363.6600000001</v>
      </c>
      <c r="H63" s="242">
        <f>MIN(C60:G60)</f>
        <v>-200752.87000000104</v>
      </c>
      <c r="I63" s="245"/>
    </row>
    <row r="64" spans="1:9" s="54" customFormat="1" ht="13.5" customHeight="1">
      <c r="A64" s="257"/>
      <c r="B64" s="52" t="s">
        <v>46</v>
      </c>
      <c r="C64" s="32">
        <f>SUM(C60:C63)</f>
        <v>9252030</v>
      </c>
      <c r="D64" s="322">
        <f>SUM(D60:D63)</f>
        <v>9825319.339999998</v>
      </c>
      <c r="E64" s="144">
        <f>SUM(E60:E63)</f>
        <v>581316</v>
      </c>
      <c r="F64" s="144">
        <f>SUM(F60:F63)</f>
        <v>10833519</v>
      </c>
      <c r="G64" s="144">
        <f>SUM(G60:G63)</f>
        <v>8036856.0499999989</v>
      </c>
      <c r="I64" s="136"/>
    </row>
    <row r="65" spans="1:15" s="230" customFormat="1" ht="13.5" customHeight="1">
      <c r="A65" s="263" t="s">
        <v>87</v>
      </c>
      <c r="B65" s="224"/>
      <c r="C65" s="273">
        <f t="shared" ref="C65" si="4">C60/(C51)</f>
        <v>0.25049216938872215</v>
      </c>
      <c r="D65" s="323">
        <f>D60/(D51)</f>
        <v>0.10930156087694375</v>
      </c>
      <c r="E65" s="277">
        <f>E60/(E51)</f>
        <v>-3.1225079625021297E-3</v>
      </c>
      <c r="F65" s="277">
        <f>F60/(F51)</f>
        <v>0.64333462255327967</v>
      </c>
      <c r="G65" s="277">
        <f>G60/(G51)</f>
        <v>-2.1211556123020517E-2</v>
      </c>
      <c r="H65" s="55">
        <f>AVERAGE(C65:G65)</f>
        <v>0.19575885774668461</v>
      </c>
      <c r="I65" s="233"/>
    </row>
    <row r="66" spans="1:15" hidden="1">
      <c r="A66" s="222"/>
      <c r="B66" s="62" t="s">
        <v>88</v>
      </c>
      <c r="C66" s="94">
        <f>+C9+C11+C12+C13+C31-C53-C51-C64-C54</f>
        <v>-1</v>
      </c>
      <c r="D66" s="324">
        <f t="shared" ref="D66:G66" si="5">+D9+D11+D12+D13+D31-D53-D51-D64-D54</f>
        <v>0.69000000320374966</v>
      </c>
      <c r="E66" s="94">
        <f t="shared" si="5"/>
        <v>-1</v>
      </c>
      <c r="F66" s="94">
        <f t="shared" si="5"/>
        <v>0</v>
      </c>
      <c r="G66" s="94">
        <f t="shared" si="5"/>
        <v>-1.5400000009685755</v>
      </c>
      <c r="H66" s="148">
        <f>MAX(C65:G65)</f>
        <v>0.64333462255327967</v>
      </c>
    </row>
    <row r="67" spans="1:15" hidden="1">
      <c r="A67" s="234"/>
      <c r="B67" s="234"/>
      <c r="C67" s="94">
        <f>+C9+C58-C64</f>
        <v>-1</v>
      </c>
      <c r="D67" s="324">
        <f>+D9+D58-D64</f>
        <v>0.69000000320374966</v>
      </c>
      <c r="E67" s="94">
        <f>+E9+E58-E64</f>
        <v>-1</v>
      </c>
      <c r="F67" s="94">
        <f>+F9+F58-F64</f>
        <v>0</v>
      </c>
      <c r="G67" s="80">
        <f>+G9+G58-G64</f>
        <v>-1.5399999991059303</v>
      </c>
      <c r="H67" s="148">
        <f>MIN(C65:G65)</f>
        <v>-2.1211556123020517E-2</v>
      </c>
    </row>
    <row r="68" spans="1:15">
      <c r="A68" s="234"/>
      <c r="B68" s="234"/>
      <c r="C68" s="94"/>
      <c r="D68" s="324"/>
      <c r="E68" s="94"/>
      <c r="F68" s="94"/>
      <c r="G68" s="80"/>
      <c r="H68" s="148"/>
    </row>
    <row r="69" spans="1:15" ht="12.75" customHeight="1">
      <c r="A69" s="213" t="s">
        <v>199</v>
      </c>
      <c r="B69" s="63"/>
      <c r="C69" s="63"/>
      <c r="D69" s="325"/>
      <c r="E69" s="94"/>
      <c r="F69" s="94"/>
      <c r="G69" s="94"/>
      <c r="H69" s="148"/>
    </row>
    <row r="70" spans="1:15" ht="12.75" customHeight="1">
      <c r="A70" s="210" t="s">
        <v>200</v>
      </c>
      <c r="B70" s="63"/>
      <c r="C70" s="63"/>
      <c r="D70" s="325"/>
    </row>
    <row r="71" spans="1:15" ht="12.75" customHeight="1">
      <c r="A71" s="211" t="s">
        <v>89</v>
      </c>
      <c r="B71" s="63"/>
      <c r="C71" s="63"/>
      <c r="D71" s="325"/>
    </row>
    <row r="72" spans="1:15">
      <c r="A72" s="212"/>
      <c r="B72" s="63"/>
      <c r="C72" s="63"/>
      <c r="D72" s="325"/>
    </row>
    <row r="73" spans="1:15" ht="12.75" customHeight="1">
      <c r="A73" s="210" t="s">
        <v>201</v>
      </c>
      <c r="B73" s="63"/>
      <c r="C73" s="63"/>
      <c r="D73" s="325"/>
    </row>
    <row r="74" spans="1:15" ht="12.75" customHeight="1">
      <c r="A74" s="210" t="s">
        <v>90</v>
      </c>
      <c r="B74" s="63"/>
      <c r="C74" s="63"/>
      <c r="D74" s="325"/>
    </row>
    <row r="75" spans="1:15" ht="12.75" customHeight="1">
      <c r="A75" s="210" t="s">
        <v>91</v>
      </c>
      <c r="B75" s="236"/>
      <c r="C75" s="158"/>
      <c r="D75" s="326"/>
    </row>
    <row r="76" spans="1:15">
      <c r="A76" s="159"/>
      <c r="B76" s="159"/>
      <c r="C76" s="159"/>
      <c r="D76" s="327"/>
    </row>
    <row r="77" spans="1:15" ht="12.75" customHeight="1">
      <c r="A77" s="368"/>
      <c r="B77" s="369"/>
      <c r="C77" s="252"/>
      <c r="D77" s="313"/>
      <c r="E77" s="252"/>
      <c r="F77" s="252"/>
      <c r="G77" s="252"/>
    </row>
    <row r="78" spans="1:15" ht="72.75" customHeight="1">
      <c r="A78" s="370"/>
      <c r="B78" s="371"/>
      <c r="C78" s="251" t="str">
        <f>C2</f>
        <v xml:space="preserve">16th DAA, California Mid-State Fair          </v>
      </c>
      <c r="D78" s="328" t="str">
        <f>D2</f>
        <v>21st DAA, 
The Big Fresno Fair**</v>
      </c>
      <c r="E78" s="251" t="str">
        <f>E2</f>
        <v>31st DAA, Ventura County Fair</v>
      </c>
      <c r="F78" s="251" t="str">
        <f>F2</f>
        <v>National Orange Show</v>
      </c>
      <c r="G78" s="251" t="str">
        <f>G2</f>
        <v>Sonoma County Fair FY 15/16</v>
      </c>
    </row>
    <row r="79" spans="1:15" ht="13.5" customHeight="1">
      <c r="A79" s="255" t="s">
        <v>92</v>
      </c>
      <c r="B79" s="40"/>
      <c r="C79" s="65"/>
      <c r="D79" s="314"/>
      <c r="E79" s="65"/>
      <c r="F79" s="65"/>
      <c r="G79" s="65"/>
      <c r="J79" s="149"/>
      <c r="K79" s="149"/>
      <c r="L79" s="150"/>
      <c r="M79" s="149"/>
      <c r="N79" s="149"/>
      <c r="O79" s="149"/>
    </row>
    <row r="80" spans="1:15" ht="13.5" customHeight="1">
      <c r="A80" s="255" t="s">
        <v>93</v>
      </c>
      <c r="B80" s="40"/>
      <c r="C80" s="65"/>
      <c r="D80" s="314"/>
      <c r="E80" s="65"/>
      <c r="F80" s="65"/>
      <c r="G80" s="65"/>
    </row>
    <row r="81" spans="1:9" ht="13.5" customHeight="1">
      <c r="A81" s="260"/>
      <c r="B81" s="40" t="s">
        <v>94</v>
      </c>
      <c r="C81" s="41"/>
      <c r="D81" s="318"/>
      <c r="E81" s="41"/>
      <c r="F81" s="41"/>
      <c r="G81" s="41"/>
    </row>
    <row r="82" spans="1:9" ht="13.5" customHeight="1">
      <c r="A82" s="260"/>
      <c r="B82" s="40" t="s">
        <v>95</v>
      </c>
      <c r="C82" s="24">
        <v>200059</v>
      </c>
      <c r="D82" s="329">
        <v>0</v>
      </c>
      <c r="E82" s="24">
        <v>0</v>
      </c>
      <c r="F82" s="24">
        <v>0</v>
      </c>
      <c r="G82" s="24">
        <v>164009</v>
      </c>
      <c r="I82" s="67">
        <f t="shared" ref="I82:I92" si="6">SUM(C82:E82)</f>
        <v>200059</v>
      </c>
    </row>
    <row r="83" spans="1:9" ht="13.5" customHeight="1">
      <c r="A83" s="260"/>
      <c r="B83" s="40" t="s">
        <v>96</v>
      </c>
      <c r="C83" s="41">
        <v>2863652</v>
      </c>
      <c r="D83" s="318">
        <v>3271296.94</v>
      </c>
      <c r="E83" s="41">
        <v>1010003</v>
      </c>
      <c r="F83" s="41">
        <v>3589298</v>
      </c>
      <c r="G83" s="41">
        <v>1546125</v>
      </c>
      <c r="I83" s="67">
        <f t="shared" si="6"/>
        <v>7144951.9399999995</v>
      </c>
    </row>
    <row r="84" spans="1:9" ht="13.5" customHeight="1">
      <c r="A84" s="260"/>
      <c r="B84" s="40" t="s">
        <v>97</v>
      </c>
      <c r="C84" s="41">
        <v>95460</v>
      </c>
      <c r="D84" s="318">
        <f>508849.86+37686</f>
        <v>546535.86</v>
      </c>
      <c r="E84" s="41">
        <v>41329</v>
      </c>
      <c r="F84" s="41">
        <v>601418</v>
      </c>
      <c r="G84" s="41">
        <v>339626</v>
      </c>
      <c r="I84" s="67">
        <f t="shared" si="6"/>
        <v>683324.86</v>
      </c>
    </row>
    <row r="85" spans="1:9" ht="13.5" customHeight="1">
      <c r="A85" s="260"/>
      <c r="B85" s="40" t="s">
        <v>98</v>
      </c>
      <c r="C85" s="41">
        <v>23240</v>
      </c>
      <c r="D85" s="318">
        <v>0</v>
      </c>
      <c r="E85" s="41">
        <v>3433</v>
      </c>
      <c r="F85" s="41">
        <v>0</v>
      </c>
      <c r="G85" s="41">
        <v>0</v>
      </c>
      <c r="I85" s="67">
        <f t="shared" si="6"/>
        <v>26673</v>
      </c>
    </row>
    <row r="86" spans="1:9" ht="13.5" customHeight="1">
      <c r="A86" s="260"/>
      <c r="B86" s="40" t="s">
        <v>99</v>
      </c>
      <c r="C86" s="41">
        <v>6283</v>
      </c>
      <c r="D86" s="318">
        <v>21351.8</v>
      </c>
      <c r="E86" s="41">
        <v>12225</v>
      </c>
      <c r="F86" s="41">
        <v>1868349</v>
      </c>
      <c r="G86" s="41">
        <v>3781</v>
      </c>
      <c r="I86" s="67">
        <f t="shared" si="6"/>
        <v>39859.800000000003</v>
      </c>
    </row>
    <row r="87" spans="1:9" ht="13.5" customHeight="1">
      <c r="A87" s="260"/>
      <c r="B87" s="40" t="s">
        <v>100</v>
      </c>
      <c r="C87" s="41">
        <v>333381</v>
      </c>
      <c r="D87" s="318">
        <v>57712.55</v>
      </c>
      <c r="E87" s="41">
        <v>0</v>
      </c>
      <c r="F87" s="41">
        <v>0</v>
      </c>
      <c r="G87" s="41">
        <v>34807</v>
      </c>
      <c r="I87" s="20">
        <f t="shared" si="6"/>
        <v>391093.55</v>
      </c>
    </row>
    <row r="88" spans="1:9" ht="13.5" customHeight="1">
      <c r="A88" s="260"/>
      <c r="B88" s="40" t="s">
        <v>101</v>
      </c>
      <c r="C88" s="41">
        <v>723405</v>
      </c>
      <c r="D88" s="318">
        <v>244076.6</v>
      </c>
      <c r="E88" s="41">
        <v>282915</v>
      </c>
      <c r="F88" s="41">
        <v>530755</v>
      </c>
      <c r="G88" s="41">
        <v>639516</v>
      </c>
      <c r="I88" s="20">
        <f t="shared" si="6"/>
        <v>1250396.6000000001</v>
      </c>
    </row>
    <row r="89" spans="1:9" ht="13.5" customHeight="1">
      <c r="A89" s="260"/>
      <c r="B89" s="40" t="s">
        <v>102</v>
      </c>
      <c r="C89" s="41">
        <v>15905368</v>
      </c>
      <c r="D89" s="318">
        <v>25554575.960000001</v>
      </c>
      <c r="E89" s="41">
        <v>17298050</v>
      </c>
      <c r="F89" s="41">
        <v>23420811</v>
      </c>
      <c r="G89" s="41">
        <v>31791775</v>
      </c>
      <c r="I89" s="20">
        <f t="shared" si="6"/>
        <v>58757993.960000001</v>
      </c>
    </row>
    <row r="90" spans="1:9" ht="13.5" customHeight="1">
      <c r="A90" s="260"/>
      <c r="B90" s="40" t="s">
        <v>103</v>
      </c>
      <c r="C90" s="41">
        <v>1723999</v>
      </c>
      <c r="D90" s="318">
        <v>687238.31</v>
      </c>
      <c r="E90" s="41">
        <v>828879</v>
      </c>
      <c r="F90" s="41">
        <v>3639127</v>
      </c>
      <c r="G90" s="41">
        <v>2715399</v>
      </c>
      <c r="I90" s="20">
        <f t="shared" si="6"/>
        <v>3240116.31</v>
      </c>
    </row>
    <row r="91" spans="1:9" ht="13.5" customHeight="1">
      <c r="A91" s="260"/>
      <c r="B91" s="40" t="s">
        <v>104</v>
      </c>
      <c r="C91" s="41">
        <v>0</v>
      </c>
      <c r="D91" s="318">
        <v>0</v>
      </c>
      <c r="E91" s="41">
        <v>0</v>
      </c>
      <c r="F91" s="41">
        <v>0</v>
      </c>
      <c r="G91" s="41">
        <v>0</v>
      </c>
      <c r="I91" s="20">
        <f t="shared" si="6"/>
        <v>0</v>
      </c>
    </row>
    <row r="92" spans="1:9" ht="13.5" customHeight="1">
      <c r="A92" s="260"/>
      <c r="B92" s="40" t="s">
        <v>186</v>
      </c>
      <c r="C92" s="41">
        <v>0</v>
      </c>
      <c r="D92" s="318">
        <v>0</v>
      </c>
      <c r="E92" s="41">
        <v>0</v>
      </c>
      <c r="F92" s="41">
        <v>61126</v>
      </c>
      <c r="G92" s="41">
        <v>0</v>
      </c>
      <c r="I92" s="20">
        <f t="shared" si="6"/>
        <v>0</v>
      </c>
    </row>
    <row r="93" spans="1:9" ht="13.5" customHeight="1">
      <c r="A93" s="260"/>
      <c r="B93" s="40" t="s">
        <v>105</v>
      </c>
      <c r="C93" s="41">
        <f>-7838581-1647548</f>
        <v>-9486129</v>
      </c>
      <c r="D93" s="318">
        <f>-16078225.78-593031.39</f>
        <v>-16671257.17</v>
      </c>
      <c r="E93" s="41">
        <f>-11017985-763770</f>
        <v>-11781755</v>
      </c>
      <c r="F93" s="41">
        <f>-18045026-2729345-30078</f>
        <v>-20804449</v>
      </c>
      <c r="G93" s="41">
        <f>-23228879-2482447</f>
        <v>-25711326</v>
      </c>
      <c r="I93" s="31">
        <f>SUM(C87:E93)</f>
        <v>25700459.25</v>
      </c>
    </row>
    <row r="94" spans="1:9" ht="13.5" customHeight="1">
      <c r="A94" s="260"/>
      <c r="B94" s="40" t="s">
        <v>106</v>
      </c>
      <c r="C94" s="41">
        <v>0</v>
      </c>
      <c r="D94" s="318"/>
      <c r="E94" s="41">
        <v>0</v>
      </c>
      <c r="F94" s="41">
        <v>0</v>
      </c>
      <c r="G94" s="41">
        <v>0</v>
      </c>
      <c r="I94" s="20"/>
    </row>
    <row r="95" spans="1:9" s="33" customFormat="1" ht="13.5" customHeight="1">
      <c r="A95" s="268" t="s">
        <v>107</v>
      </c>
      <c r="B95" s="34"/>
      <c r="C95" s="35">
        <f>SUM(C81:C94)</f>
        <v>12388718</v>
      </c>
      <c r="D95" s="318">
        <f t="shared" ref="D95:G95" si="7">SUM(D81:D94)</f>
        <v>13711530.85</v>
      </c>
      <c r="E95" s="35">
        <f t="shared" si="7"/>
        <v>7695079</v>
      </c>
      <c r="F95" s="35">
        <f t="shared" si="7"/>
        <v>12906435</v>
      </c>
      <c r="G95" s="35">
        <f t="shared" si="7"/>
        <v>11523712</v>
      </c>
      <c r="I95" s="226">
        <f>SUM(C95:E95)</f>
        <v>33795327.850000001</v>
      </c>
    </row>
    <row r="96" spans="1:9" s="33" customFormat="1" ht="13.5" customHeight="1">
      <c r="A96" s="268" t="s">
        <v>215</v>
      </c>
      <c r="B96" s="34"/>
      <c r="C96" s="35">
        <v>45262</v>
      </c>
      <c r="D96" s="318">
        <v>0</v>
      </c>
      <c r="E96" s="35">
        <v>671190</v>
      </c>
      <c r="F96" s="35">
        <v>0</v>
      </c>
      <c r="G96" s="35">
        <v>1215183</v>
      </c>
      <c r="I96" s="226">
        <f>SUM(C96:E96)</f>
        <v>716452</v>
      </c>
    </row>
    <row r="97" spans="1:9" s="56" customFormat="1" ht="13.5" customHeight="1">
      <c r="A97" s="263" t="s">
        <v>212</v>
      </c>
      <c r="B97" s="224"/>
      <c r="C97" s="225">
        <f>+C95+C96</f>
        <v>12433980</v>
      </c>
      <c r="D97" s="321">
        <f t="shared" ref="D97:G97" si="8">+D95+D96</f>
        <v>13711530.85</v>
      </c>
      <c r="E97" s="225">
        <f t="shared" si="8"/>
        <v>8366269</v>
      </c>
      <c r="F97" s="225">
        <f t="shared" si="8"/>
        <v>12906435</v>
      </c>
      <c r="G97" s="225">
        <f t="shared" si="8"/>
        <v>12738895</v>
      </c>
      <c r="I97" s="226">
        <f>SUM(C97:E97)</f>
        <v>34511779.850000001</v>
      </c>
    </row>
    <row r="98" spans="1:9" ht="13.5" customHeight="1">
      <c r="A98" s="255" t="s">
        <v>213</v>
      </c>
      <c r="B98" s="40"/>
      <c r="C98" s="64"/>
      <c r="D98" s="314"/>
      <c r="E98" s="65"/>
      <c r="F98" s="65"/>
      <c r="G98" s="65"/>
      <c r="I98" s="20"/>
    </row>
    <row r="99" spans="1:9" ht="13.5" customHeight="1">
      <c r="A99" s="260"/>
      <c r="B99" s="40" t="s">
        <v>108</v>
      </c>
      <c r="C99" s="29">
        <v>815</v>
      </c>
      <c r="D99" s="318">
        <v>0</v>
      </c>
      <c r="E99" s="41">
        <v>0</v>
      </c>
      <c r="F99" s="65">
        <v>35042</v>
      </c>
      <c r="G99" s="65">
        <v>0</v>
      </c>
      <c r="I99" s="67">
        <f t="shared" ref="I99:I119" si="9">SUM(C99:E99)</f>
        <v>815</v>
      </c>
    </row>
    <row r="100" spans="1:9" ht="13.5" customHeight="1">
      <c r="A100" s="260"/>
      <c r="B100" s="40" t="s">
        <v>109</v>
      </c>
      <c r="C100" s="29">
        <v>122730</v>
      </c>
      <c r="D100" s="318">
        <v>1534128.5</v>
      </c>
      <c r="E100" s="41">
        <v>321537</v>
      </c>
      <c r="F100" s="41">
        <v>368096</v>
      </c>
      <c r="G100" s="41">
        <v>219851</v>
      </c>
      <c r="I100" s="67">
        <f t="shared" si="9"/>
        <v>1978395.5</v>
      </c>
    </row>
    <row r="101" spans="1:9" ht="13.5" customHeight="1">
      <c r="A101" s="260"/>
      <c r="B101" s="40" t="s">
        <v>110</v>
      </c>
      <c r="C101" s="29">
        <v>11829</v>
      </c>
      <c r="D101" s="318">
        <v>22432.04</v>
      </c>
      <c r="E101" s="41">
        <v>42529</v>
      </c>
      <c r="F101" s="41">
        <v>0</v>
      </c>
      <c r="G101" s="41">
        <v>38463</v>
      </c>
      <c r="I101" s="67">
        <f t="shared" si="9"/>
        <v>76790.040000000008</v>
      </c>
    </row>
    <row r="102" spans="1:9" ht="13.5" customHeight="1">
      <c r="A102" s="260"/>
      <c r="B102" s="40" t="s">
        <v>111</v>
      </c>
      <c r="C102" s="29">
        <v>52855</v>
      </c>
      <c r="D102" s="318">
        <v>375095.15</v>
      </c>
      <c r="E102" s="41">
        <v>14726</v>
      </c>
      <c r="F102" s="41">
        <v>41480</v>
      </c>
      <c r="G102" s="41">
        <v>1004515</v>
      </c>
      <c r="I102" s="67">
        <f t="shared" si="9"/>
        <v>442676.15</v>
      </c>
    </row>
    <row r="103" spans="1:9" ht="13.5" customHeight="1">
      <c r="A103" s="260"/>
      <c r="B103" s="40" t="s">
        <v>112</v>
      </c>
      <c r="C103" s="29">
        <v>55667</v>
      </c>
      <c r="D103" s="318">
        <v>33218.86</v>
      </c>
      <c r="E103" s="41">
        <v>-3999</v>
      </c>
      <c r="F103" s="41">
        <v>0</v>
      </c>
      <c r="G103" s="41">
        <v>40324</v>
      </c>
      <c r="I103" s="67">
        <f t="shared" si="9"/>
        <v>84886.86</v>
      </c>
    </row>
    <row r="104" spans="1:9" ht="13.5" customHeight="1">
      <c r="A104" s="260"/>
      <c r="B104" s="40" t="s">
        <v>113</v>
      </c>
      <c r="C104" s="29">
        <v>2654</v>
      </c>
      <c r="D104" s="318">
        <v>35050</v>
      </c>
      <c r="E104" s="41">
        <v>94719</v>
      </c>
      <c r="F104" s="41">
        <v>103648</v>
      </c>
      <c r="G104" s="41">
        <v>0</v>
      </c>
      <c r="I104" s="67">
        <f t="shared" si="9"/>
        <v>132423</v>
      </c>
    </row>
    <row r="105" spans="1:9" ht="13.5" customHeight="1">
      <c r="A105" s="260"/>
      <c r="B105" s="40" t="s">
        <v>114</v>
      </c>
      <c r="C105" s="29">
        <v>87384</v>
      </c>
      <c r="D105" s="318">
        <v>407001</v>
      </c>
      <c r="E105" s="41">
        <v>270562</v>
      </c>
      <c r="F105" s="41">
        <v>68255</v>
      </c>
      <c r="G105" s="41">
        <v>196329</v>
      </c>
      <c r="I105" s="67">
        <f t="shared" si="9"/>
        <v>764947</v>
      </c>
    </row>
    <row r="106" spans="1:9" ht="13.5" customHeight="1">
      <c r="A106" s="260"/>
      <c r="B106" s="40" t="s">
        <v>115</v>
      </c>
      <c r="C106" s="29">
        <v>3787</v>
      </c>
      <c r="D106" s="318">
        <v>1338437.69</v>
      </c>
      <c r="E106" s="41">
        <v>1331380</v>
      </c>
      <c r="F106" s="41">
        <v>1167583</v>
      </c>
      <c r="G106" s="41">
        <v>700000</v>
      </c>
      <c r="I106" s="67">
        <f t="shared" si="9"/>
        <v>2673604.69</v>
      </c>
    </row>
    <row r="107" spans="1:9" ht="13.5" customHeight="1">
      <c r="A107" s="260"/>
      <c r="B107" s="40" t="s">
        <v>218</v>
      </c>
      <c r="C107" s="29">
        <v>2364194</v>
      </c>
      <c r="D107" s="318">
        <v>0</v>
      </c>
      <c r="E107" s="41">
        <v>5147938</v>
      </c>
      <c r="F107" s="41">
        <v>288812</v>
      </c>
      <c r="G107" s="41">
        <v>2157912</v>
      </c>
      <c r="I107" s="67">
        <f t="shared" si="9"/>
        <v>7512132</v>
      </c>
    </row>
    <row r="108" spans="1:9" s="33" customFormat="1" ht="13.5" customHeight="1">
      <c r="A108" s="268" t="s">
        <v>217</v>
      </c>
      <c r="B108" s="34"/>
      <c r="C108" s="35">
        <f>SUM(C99:C107)</f>
        <v>2701915</v>
      </c>
      <c r="D108" s="318">
        <f t="shared" ref="D108:G108" si="10">SUM(D99:D107)</f>
        <v>3745363.2399999998</v>
      </c>
      <c r="E108" s="35">
        <f t="shared" si="10"/>
        <v>7219392</v>
      </c>
      <c r="F108" s="35">
        <f t="shared" si="10"/>
        <v>2072916</v>
      </c>
      <c r="G108" s="35">
        <f t="shared" si="10"/>
        <v>4357394</v>
      </c>
      <c r="I108" s="226">
        <f>SUM(C108:E108)</f>
        <v>13666670.24</v>
      </c>
    </row>
    <row r="109" spans="1:9" s="33" customFormat="1" ht="13.5" customHeight="1">
      <c r="A109" s="268" t="s">
        <v>216</v>
      </c>
      <c r="B109" s="34"/>
      <c r="C109" s="35">
        <v>110378</v>
      </c>
      <c r="D109" s="318">
        <v>0</v>
      </c>
      <c r="E109" s="35">
        <v>215261</v>
      </c>
      <c r="F109" s="35">
        <v>0</v>
      </c>
      <c r="G109" s="35">
        <v>267030</v>
      </c>
      <c r="I109" s="226">
        <f>SUM(C109:E109)</f>
        <v>325639</v>
      </c>
    </row>
    <row r="110" spans="1:9" s="56" customFormat="1" ht="13.5" customHeight="1">
      <c r="A110" s="263" t="s">
        <v>214</v>
      </c>
      <c r="B110" s="224"/>
      <c r="C110" s="225">
        <f>+C108+C109</f>
        <v>2812293</v>
      </c>
      <c r="D110" s="321">
        <f t="shared" ref="D110:G110" si="11">+D108+D109</f>
        <v>3745363.2399999998</v>
      </c>
      <c r="E110" s="225">
        <f t="shared" si="11"/>
        <v>7434653</v>
      </c>
      <c r="F110" s="225">
        <f t="shared" si="11"/>
        <v>2072916</v>
      </c>
      <c r="G110" s="225">
        <f t="shared" si="11"/>
        <v>4624424</v>
      </c>
      <c r="I110" s="226">
        <f t="shared" si="9"/>
        <v>13992309.24</v>
      </c>
    </row>
    <row r="111" spans="1:9" ht="13.5" customHeight="1">
      <c r="A111" s="255" t="s">
        <v>116</v>
      </c>
      <c r="B111" s="40"/>
      <c r="C111" s="65"/>
      <c r="D111" s="314"/>
      <c r="E111" s="65"/>
      <c r="F111" s="65"/>
      <c r="G111" s="65"/>
      <c r="I111" s="67">
        <f t="shared" si="9"/>
        <v>0</v>
      </c>
    </row>
    <row r="112" spans="1:9" ht="13.5" customHeight="1">
      <c r="A112" s="260"/>
      <c r="B112" s="40" t="s">
        <v>117</v>
      </c>
      <c r="C112" s="41">
        <v>369659</v>
      </c>
      <c r="D112" s="318">
        <v>140848</v>
      </c>
      <c r="E112" s="41">
        <v>350300</v>
      </c>
      <c r="F112" s="41">
        <v>0</v>
      </c>
      <c r="G112" s="29">
        <v>77616</v>
      </c>
      <c r="I112" s="67">
        <f t="shared" si="9"/>
        <v>860807</v>
      </c>
    </row>
    <row r="113" spans="1:9" ht="13.5" customHeight="1">
      <c r="A113" s="260"/>
      <c r="B113" s="40" t="s">
        <v>42</v>
      </c>
      <c r="C113" s="41">
        <f>C60</f>
        <v>2485101</v>
      </c>
      <c r="D113" s="318">
        <f t="shared" ref="D113:G113" si="12">D60</f>
        <v>1291410.33</v>
      </c>
      <c r="E113" s="41">
        <f t="shared" si="12"/>
        <v>-23384</v>
      </c>
      <c r="F113" s="41">
        <f t="shared" si="12"/>
        <v>5442544</v>
      </c>
      <c r="G113" s="41">
        <f t="shared" si="12"/>
        <v>-200752.87000000104</v>
      </c>
      <c r="I113" s="67">
        <f t="shared" si="9"/>
        <v>3753127.33</v>
      </c>
    </row>
    <row r="114" spans="1:9" ht="13.5" customHeight="1">
      <c r="A114" s="260"/>
      <c r="B114" s="40" t="s">
        <v>220</v>
      </c>
      <c r="C114" s="41">
        <f t="shared" ref="C114:G114" si="13">C61</f>
        <v>-2429310</v>
      </c>
      <c r="D114" s="318">
        <f t="shared" si="13"/>
        <v>0</v>
      </c>
      <c r="E114" s="41">
        <f t="shared" si="13"/>
        <v>-4692009</v>
      </c>
      <c r="F114" s="41">
        <f t="shared" si="13"/>
        <v>-288812</v>
      </c>
      <c r="G114" s="41">
        <f t="shared" si="13"/>
        <v>-1209759</v>
      </c>
      <c r="I114" s="67">
        <f t="shared" si="9"/>
        <v>-7121319</v>
      </c>
    </row>
    <row r="115" spans="1:9" ht="13.5" customHeight="1">
      <c r="A115" s="260"/>
      <c r="B115" s="40" t="s">
        <v>43</v>
      </c>
      <c r="C115" s="41">
        <f t="shared" ref="C115:G115" si="14">C62</f>
        <v>0</v>
      </c>
      <c r="D115" s="318">
        <f t="shared" si="14"/>
        <v>0</v>
      </c>
      <c r="E115" s="41">
        <f t="shared" si="14"/>
        <v>0</v>
      </c>
      <c r="F115" s="41">
        <f t="shared" si="14"/>
        <v>0</v>
      </c>
      <c r="G115" s="41">
        <f t="shared" si="14"/>
        <v>12004.26</v>
      </c>
      <c r="I115" s="67">
        <f t="shared" si="9"/>
        <v>0</v>
      </c>
    </row>
    <row r="116" spans="1:9" ht="13.5" customHeight="1">
      <c r="A116" s="260"/>
      <c r="B116" s="40" t="s">
        <v>118</v>
      </c>
      <c r="C116" s="41">
        <f t="shared" ref="C116:G116" si="15">C63</f>
        <v>9196239</v>
      </c>
      <c r="D116" s="318">
        <f t="shared" si="15"/>
        <v>8533909.0099999979</v>
      </c>
      <c r="E116" s="41">
        <f t="shared" si="15"/>
        <v>5296709</v>
      </c>
      <c r="F116" s="41">
        <f t="shared" si="15"/>
        <v>5679787</v>
      </c>
      <c r="G116" s="41">
        <f t="shared" si="15"/>
        <v>9435363.6600000001</v>
      </c>
      <c r="I116" s="67">
        <f t="shared" si="9"/>
        <v>23026857.009999998</v>
      </c>
    </row>
    <row r="117" spans="1:9" ht="13.5" customHeight="1">
      <c r="A117" s="269"/>
      <c r="B117" s="71" t="s">
        <v>106</v>
      </c>
      <c r="C117" s="73">
        <v>0</v>
      </c>
      <c r="D117" s="330"/>
      <c r="E117" s="73">
        <v>0</v>
      </c>
      <c r="F117" s="73">
        <v>0</v>
      </c>
      <c r="G117" s="73">
        <v>0</v>
      </c>
      <c r="I117" s="67">
        <f t="shared" si="9"/>
        <v>0</v>
      </c>
    </row>
    <row r="118" spans="1:9" s="33" customFormat="1" ht="13.5" customHeight="1">
      <c r="A118" s="268" t="s">
        <v>46</v>
      </c>
      <c r="B118" s="75"/>
      <c r="C118" s="76">
        <f>SUM(C112:C117)</f>
        <v>9621689</v>
      </c>
      <c r="D118" s="330">
        <f>SUM(D112:D117)</f>
        <v>9966167.339999998</v>
      </c>
      <c r="E118" s="76">
        <f>SUM(E112:E117)</f>
        <v>931616</v>
      </c>
      <c r="F118" s="76">
        <f>SUM(F112:F117)</f>
        <v>10833519</v>
      </c>
      <c r="G118" s="76">
        <f>SUM(G112:G117)</f>
        <v>8114472.0499999989</v>
      </c>
      <c r="I118" s="69">
        <f t="shared" si="9"/>
        <v>20519472.339999996</v>
      </c>
    </row>
    <row r="119" spans="1:9" s="56" customFormat="1" ht="13.5" customHeight="1">
      <c r="A119" s="263" t="s">
        <v>219</v>
      </c>
      <c r="B119" s="224"/>
      <c r="C119" s="225">
        <f>SUM(C110:C117)</f>
        <v>12433982</v>
      </c>
      <c r="D119" s="321">
        <f>SUM(D110:D117)</f>
        <v>13711530.579999998</v>
      </c>
      <c r="E119" s="225">
        <f>SUM(E110:E117)</f>
        <v>8366269</v>
      </c>
      <c r="F119" s="225">
        <f>SUM(F110:F117)</f>
        <v>12906435</v>
      </c>
      <c r="G119" s="225">
        <f>SUM(G110:G117)</f>
        <v>12738896.049999999</v>
      </c>
      <c r="I119" s="226">
        <f t="shared" si="9"/>
        <v>34511781.579999998</v>
      </c>
    </row>
    <row r="120" spans="1:9" hidden="1">
      <c r="A120" s="79"/>
      <c r="B120" s="70" t="s">
        <v>88</v>
      </c>
      <c r="C120" s="94">
        <f>+C97-C119</f>
        <v>-2</v>
      </c>
      <c r="D120" s="324">
        <f>+D97-D119</f>
        <v>0.27000000141561031</v>
      </c>
      <c r="E120" s="94">
        <f>+E97-E119</f>
        <v>0</v>
      </c>
      <c r="F120" s="94">
        <f>+F97-F119</f>
        <v>0</v>
      </c>
      <c r="G120" s="94">
        <f>+G97-G119</f>
        <v>-1.0499999988824129</v>
      </c>
    </row>
    <row r="121" spans="1:9">
      <c r="A121" s="70"/>
      <c r="B121" s="101"/>
      <c r="C121" s="102"/>
      <c r="D121" s="331"/>
      <c r="E121" s="103"/>
      <c r="F121" s="103"/>
      <c r="G121" s="103"/>
    </row>
    <row r="122" spans="1:9" ht="37.5" customHeight="1">
      <c r="A122" s="360" t="s">
        <v>119</v>
      </c>
      <c r="B122" s="361"/>
      <c r="C122" s="354">
        <f>C55/(C31)</f>
        <v>6.5462016304934006E-2</v>
      </c>
      <c r="D122" s="388">
        <f>D55/(D31)</f>
        <v>-4.8573120302133508E-3</v>
      </c>
      <c r="E122" s="354">
        <f>E55/(E31)</f>
        <v>7.6478899240734491E-2</v>
      </c>
      <c r="F122" s="354">
        <f>F55/(F31)</f>
        <v>0.11168372863893364</v>
      </c>
      <c r="G122" s="354">
        <f>G55/(G31)</f>
        <v>4.4968339900806766E-2</v>
      </c>
    </row>
    <row r="123" spans="1:9" ht="24">
      <c r="A123" s="257"/>
      <c r="B123" s="299" t="s">
        <v>120</v>
      </c>
      <c r="C123" s="354"/>
      <c r="D123" s="388"/>
      <c r="E123" s="354"/>
      <c r="F123" s="354"/>
      <c r="G123" s="354"/>
    </row>
    <row r="124" spans="1:9" ht="14.25">
      <c r="A124" s="300" t="s">
        <v>194</v>
      </c>
      <c r="B124" s="301"/>
      <c r="C124" s="351">
        <f>(SUM(C83:C84))/SUM(C99:C104)</f>
        <v>12.002076657878726</v>
      </c>
      <c r="D124" s="385">
        <f>(SUM(D83:D84))/SUM(D99:D104)</f>
        <v>1.9089884165880155</v>
      </c>
      <c r="E124" s="351">
        <f>(SUM(E83:E84))/SUM(E99:E104)</f>
        <v>2.2392015539538925</v>
      </c>
      <c r="F124" s="351">
        <f>(SUM(F83:F84))/SUM(F99:F104)</f>
        <v>7.6435817650556483</v>
      </c>
      <c r="G124" s="351">
        <f>(SUM(G83:G84))/SUM(G99:G104)</f>
        <v>1.4470679958531347</v>
      </c>
    </row>
    <row r="125" spans="1:9" ht="36">
      <c r="A125" s="302"/>
      <c r="B125" s="303" t="s">
        <v>195</v>
      </c>
      <c r="C125" s="352"/>
      <c r="D125" s="386"/>
      <c r="E125" s="352"/>
      <c r="F125" s="352"/>
      <c r="G125" s="352"/>
    </row>
    <row r="126" spans="1:9" ht="14.25">
      <c r="A126" s="300" t="s">
        <v>196</v>
      </c>
      <c r="B126" s="301"/>
      <c r="C126" s="351">
        <f>(SUM(C83:C84))/SUM(C99:C105)</f>
        <v>8.8613678151970152</v>
      </c>
      <c r="D126" s="385">
        <f>(SUM(D83:D84))/SUM(D99:D105)</f>
        <v>1.5861864942187349</v>
      </c>
      <c r="E126" s="351">
        <f>(SUM(E83:E84))/SUM(E99:E105)</f>
        <v>1.4205768612327956</v>
      </c>
      <c r="F126" s="351">
        <f>(SUM(F83:F84))/SUM(F99:F105)</f>
        <v>6.797361322647566</v>
      </c>
      <c r="G126" s="351">
        <f>(SUM(G83:G84))/SUM(G99:G105)</f>
        <v>1.2576016250945325</v>
      </c>
    </row>
    <row r="127" spans="1:9" ht="24">
      <c r="A127" s="302"/>
      <c r="B127" s="303" t="s">
        <v>197</v>
      </c>
      <c r="C127" s="352"/>
      <c r="D127" s="386"/>
      <c r="E127" s="352"/>
      <c r="F127" s="352"/>
      <c r="G127" s="352"/>
    </row>
    <row r="128" spans="1:9" s="173" customFormat="1" ht="8.1" customHeight="1">
      <c r="A128" s="174"/>
      <c r="B128" s="175"/>
      <c r="C128" s="176"/>
      <c r="D128" s="332"/>
      <c r="E128" s="176"/>
      <c r="F128" s="176"/>
      <c r="G128" s="177"/>
      <c r="I128" s="187"/>
    </row>
    <row r="129" spans="1:9">
      <c r="A129" s="304" t="s">
        <v>121</v>
      </c>
      <c r="B129" s="75"/>
      <c r="C129" s="353">
        <f>C110/C97</f>
        <v>0.22617802184015093</v>
      </c>
      <c r="D129" s="384">
        <f>D110/D97</f>
        <v>0.27315427292350802</v>
      </c>
      <c r="E129" s="353">
        <f>E110/E97</f>
        <v>0.88864618146990015</v>
      </c>
      <c r="F129" s="353">
        <f>F110/F97</f>
        <v>0.16061104402571275</v>
      </c>
      <c r="G129" s="353">
        <f>G110/G97</f>
        <v>0.36301610147504942</v>
      </c>
    </row>
    <row r="130" spans="1:9" ht="25.5">
      <c r="A130" s="257"/>
      <c r="B130" s="305" t="s">
        <v>122</v>
      </c>
      <c r="C130" s="353"/>
      <c r="D130" s="384"/>
      <c r="E130" s="353"/>
      <c r="F130" s="353"/>
      <c r="G130" s="353"/>
    </row>
    <row r="131" spans="1:9">
      <c r="A131" s="304" t="s">
        <v>123</v>
      </c>
      <c r="B131" s="306"/>
      <c r="C131" s="353">
        <f>C118/C97</f>
        <v>0.77382213900939201</v>
      </c>
      <c r="D131" s="384">
        <f>D118/D97</f>
        <v>0.72684570738503629</v>
      </c>
      <c r="E131" s="353">
        <f>E118/E97</f>
        <v>0.11135381853009986</v>
      </c>
      <c r="F131" s="353">
        <f>F118/F97</f>
        <v>0.8393889559742872</v>
      </c>
      <c r="G131" s="353">
        <f>G118/G97</f>
        <v>0.636983980949682</v>
      </c>
    </row>
    <row r="132" spans="1:9" ht="24">
      <c r="A132" s="257"/>
      <c r="B132" s="299" t="s">
        <v>124</v>
      </c>
      <c r="C132" s="353"/>
      <c r="D132" s="384"/>
      <c r="E132" s="353"/>
      <c r="F132" s="353"/>
      <c r="G132" s="353"/>
    </row>
    <row r="133" spans="1:9">
      <c r="A133" s="362" t="s">
        <v>125</v>
      </c>
      <c r="B133" s="363"/>
      <c r="C133" s="353">
        <f>C110/C118</f>
        <v>0.29228683238462605</v>
      </c>
      <c r="D133" s="384">
        <f>D110/D118</f>
        <v>0.37580778169032836</v>
      </c>
      <c r="E133" s="353">
        <f>E110/E118</f>
        <v>7.9803835485865422</v>
      </c>
      <c r="F133" s="353">
        <f>F110/F118</f>
        <v>0.19134281298625128</v>
      </c>
      <c r="G133" s="353">
        <f>G110/G118</f>
        <v>0.56989832135782648</v>
      </c>
    </row>
    <row r="134" spans="1:9">
      <c r="A134" s="257"/>
      <c r="B134" s="299" t="s">
        <v>126</v>
      </c>
      <c r="C134" s="353"/>
      <c r="D134" s="384"/>
      <c r="E134" s="353"/>
      <c r="F134" s="353"/>
      <c r="G134" s="353"/>
    </row>
    <row r="135" spans="1:9" s="173" customFormat="1" ht="8.1" customHeight="1">
      <c r="A135" s="178"/>
      <c r="B135" s="179"/>
      <c r="C135" s="179"/>
      <c r="D135" s="333"/>
      <c r="E135" s="179"/>
      <c r="F135" s="179"/>
      <c r="G135" s="185"/>
      <c r="I135" s="187"/>
    </row>
    <row r="136" spans="1:9">
      <c r="A136" s="268" t="s">
        <v>127</v>
      </c>
      <c r="B136" s="34"/>
      <c r="C136" s="128">
        <v>9</v>
      </c>
      <c r="D136" s="334">
        <v>24</v>
      </c>
      <c r="E136" s="128">
        <v>14</v>
      </c>
      <c r="F136" s="128">
        <v>39</v>
      </c>
      <c r="G136" s="128">
        <v>27</v>
      </c>
      <c r="H136" s="82">
        <f>AVERAGE(C136:G136)</f>
        <v>22.6</v>
      </c>
    </row>
    <row r="137" spans="1:9" s="173" customFormat="1" ht="8.1" customHeight="1">
      <c r="A137" s="184"/>
      <c r="B137" s="179"/>
      <c r="C137" s="181"/>
      <c r="D137" s="335"/>
      <c r="E137" s="181"/>
      <c r="F137" s="181"/>
      <c r="G137" s="194"/>
      <c r="H137" s="188"/>
      <c r="I137" s="187"/>
    </row>
    <row r="138" spans="1:9">
      <c r="A138" s="307" t="s">
        <v>128</v>
      </c>
      <c r="B138" s="307"/>
      <c r="C138" s="195">
        <v>273628</v>
      </c>
      <c r="D138" s="336">
        <v>283633</v>
      </c>
      <c r="E138" s="195">
        <v>195700</v>
      </c>
      <c r="F138" s="195">
        <v>20189</v>
      </c>
      <c r="G138" s="195">
        <v>183574</v>
      </c>
      <c r="H138" s="91">
        <f>AVERAGE(C138:G138)</f>
        <v>191344.8</v>
      </c>
    </row>
    <row r="139" spans="1:9">
      <c r="A139" s="307" t="s">
        <v>129</v>
      </c>
      <c r="B139" s="307"/>
      <c r="C139" s="195">
        <v>147411</v>
      </c>
      <c r="D139" s="336">
        <v>284833</v>
      </c>
      <c r="E139" s="195">
        <v>136565</v>
      </c>
      <c r="F139" s="65">
        <v>589</v>
      </c>
      <c r="G139" s="195">
        <v>79242</v>
      </c>
      <c r="H139" s="91">
        <f>AVERAGE(C139:G139)</f>
        <v>129728</v>
      </c>
    </row>
    <row r="140" spans="1:9">
      <c r="A140" s="307" t="s">
        <v>130</v>
      </c>
      <c r="B140" s="307"/>
      <c r="C140" s="195">
        <v>421039</v>
      </c>
      <c r="D140" s="336">
        <v>568466</v>
      </c>
      <c r="E140" s="195">
        <v>332265</v>
      </c>
      <c r="F140" s="195">
        <v>20778</v>
      </c>
      <c r="G140" s="195">
        <v>262816</v>
      </c>
      <c r="H140" s="91">
        <f>AVERAGE(C140:G140)</f>
        <v>321072.8</v>
      </c>
    </row>
    <row r="141" spans="1:9">
      <c r="A141" s="20" t="s">
        <v>182</v>
      </c>
    </row>
    <row r="143" spans="1:9">
      <c r="A143" s="338" t="s">
        <v>236</v>
      </c>
      <c r="B143" s="325" t="s">
        <v>232</v>
      </c>
    </row>
    <row r="144" spans="1:9">
      <c r="A144" s="338"/>
      <c r="B144" s="325" t="s">
        <v>235</v>
      </c>
    </row>
  </sheetData>
  <mergeCells count="39">
    <mergeCell ref="G2:G3"/>
    <mergeCell ref="A133:B133"/>
    <mergeCell ref="A1:B3"/>
    <mergeCell ref="C2:C3"/>
    <mergeCell ref="D2:D3"/>
    <mergeCell ref="E2:E3"/>
    <mergeCell ref="F2:F3"/>
    <mergeCell ref="A122:B122"/>
    <mergeCell ref="A77:B78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F122:F123"/>
    <mergeCell ref="G122:G123"/>
    <mergeCell ref="D124:D125"/>
    <mergeCell ref="E124:E125"/>
    <mergeCell ref="F124:F125"/>
    <mergeCell ref="G124:G125"/>
    <mergeCell ref="D126:D127"/>
    <mergeCell ref="E126:E127"/>
    <mergeCell ref="F126:F127"/>
    <mergeCell ref="G126:G127"/>
    <mergeCell ref="D129:D130"/>
    <mergeCell ref="E129:E130"/>
    <mergeCell ref="F129:F130"/>
    <mergeCell ref="G129:G130"/>
    <mergeCell ref="D131:D132"/>
    <mergeCell ref="E131:E132"/>
    <mergeCell ref="F131:F132"/>
    <mergeCell ref="G131:G132"/>
    <mergeCell ref="D133:D134"/>
    <mergeCell ref="E133:E134"/>
    <mergeCell ref="F133:F134"/>
    <mergeCell ref="G133:G134"/>
  </mergeCells>
  <conditionalFormatting sqref="C122:G123">
    <cfRule type="cellIs" dxfId="6" priority="3" operator="lessThan">
      <formula>0</formula>
    </cfRule>
  </conditionalFormatting>
  <conditionalFormatting sqref="D65:G65">
    <cfRule type="cellIs" dxfId="5" priority="2" operator="lessThan">
      <formula>0</formula>
    </cfRule>
  </conditionalFormatting>
  <conditionalFormatting sqref="C65">
    <cfRule type="cellIs" dxfId="4" priority="1" operator="lessThan">
      <formula>0</formula>
    </cfRule>
  </conditionalFormatting>
  <printOptions horizontalCentered="1"/>
  <pageMargins left="0.5" right="0.5" top="0.75" bottom="0.35" header="0.5" footer="0.15"/>
  <pageSetup scale="66" orientation="portrait" r:id="rId1"/>
  <headerFooter alignWithMargins="0">
    <oddHeader>&amp;C&amp;"Arial,Bold"&amp;14CLASS VI FAIRS</oddHeader>
    <oddFooter xml:space="preserve">&amp;CFairs and Expositions&amp;R
</oddFooter>
  </headerFooter>
  <rowBreaks count="1" manualBreakCount="1">
    <brk id="76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SummaryStats</vt:lpstr>
      <vt:lpstr>Class 1</vt:lpstr>
      <vt:lpstr>Class 2</vt:lpstr>
      <vt:lpstr>Class 3</vt:lpstr>
      <vt:lpstr>Class 3+</vt:lpstr>
      <vt:lpstr>Class 4</vt:lpstr>
      <vt:lpstr>Class 4+</vt:lpstr>
      <vt:lpstr>Class 5</vt:lpstr>
      <vt:lpstr>Class 6</vt:lpstr>
      <vt:lpstr>Class 7</vt:lpstr>
      <vt:lpstr>'Class 1'!Print_Area</vt:lpstr>
      <vt:lpstr>'Class 2'!Print_Area</vt:lpstr>
      <vt:lpstr>'Class 3'!Print_Area</vt:lpstr>
      <vt:lpstr>'Class 3+'!Print_Area</vt:lpstr>
      <vt:lpstr>'Class 4'!Print_Area</vt:lpstr>
      <vt:lpstr>'Class 4+'!Print_Area</vt:lpstr>
      <vt:lpstr>'Class 5'!Print_Area</vt:lpstr>
      <vt:lpstr>'Class 6'!Print_Area</vt:lpstr>
      <vt:lpstr>'Class 7'!Print_Area</vt:lpstr>
      <vt:lpstr>SummaryStats!Print_Area</vt:lpstr>
      <vt:lpstr>'Class 1'!Print_Titles</vt:lpstr>
      <vt:lpstr>'Class 2'!Print_Titles</vt:lpstr>
      <vt:lpstr>'Class 3'!Print_Titles</vt:lpstr>
      <vt:lpstr>'Class 3+'!Print_Titles</vt:lpstr>
      <vt:lpstr>'Class 4'!Print_Titles</vt:lpstr>
      <vt:lpstr>'Class 4+'!Print_Titles</vt:lpstr>
      <vt:lpstr>'Class 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Joji Kume</dc:creator>
  <cp:lastModifiedBy>Kume, Joji@CDFA</cp:lastModifiedBy>
  <cp:lastPrinted>2017-11-02T17:59:05Z</cp:lastPrinted>
  <dcterms:created xsi:type="dcterms:W3CDTF">2016-11-16T19:39:59Z</dcterms:created>
  <dcterms:modified xsi:type="dcterms:W3CDTF">2020-07-16T21:00:58Z</dcterms:modified>
</cp:coreProperties>
</file>