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I:\FISCAL OPERATIONS\Fair STOPs\STOP Publications\2017\Cover\"/>
    </mc:Choice>
  </mc:AlternateContent>
  <xr:revisionPtr revIDLastSave="0" documentId="13_ncr:1_{B3E113A2-CE13-4076-899F-B642BD456045}" xr6:coauthVersionLast="41" xr6:coauthVersionMax="41" xr10:uidLastSave="{00000000-0000-0000-0000-000000000000}"/>
  <bookViews>
    <workbookView xWindow="-60" yWindow="-60" windowWidth="25320" windowHeight="15210" xr2:uid="{00000000-000D-0000-FFFF-FFFF00000000}"/>
  </bookViews>
  <sheets>
    <sheet name="SummaryStats" sheetId="1" r:id="rId1"/>
    <sheet name="Class 1" sheetId="8" r:id="rId2"/>
    <sheet name="Class 2" sheetId="9" r:id="rId3"/>
    <sheet name="Class 3" sheetId="10" r:id="rId4"/>
    <sheet name="Class 3+" sheetId="11" r:id="rId5"/>
    <sheet name="Class 4" sheetId="12" r:id="rId6"/>
    <sheet name="Class 4+" sheetId="13" r:id="rId7"/>
    <sheet name="Class 5" sheetId="14" r:id="rId8"/>
    <sheet name="Class 6" sheetId="15" r:id="rId9"/>
    <sheet name="Class 7" sheetId="16" r:id="rId10"/>
  </sheets>
  <externalReferences>
    <externalReference r:id="rId11"/>
    <externalReference r:id="rId12"/>
    <externalReference r:id="rId13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1">'Class 1'!$A$1:$N$145</definedName>
    <definedName name="_xlnm.Print_Area" localSheetId="2">'Class 2'!$A$1:$K$145</definedName>
    <definedName name="_xlnm.Print_Area" localSheetId="3">'Class 3'!$A$1:$P$145</definedName>
    <definedName name="_xlnm.Print_Area" localSheetId="4">'Class 3+'!$A$1:$P$145</definedName>
    <definedName name="_xlnm.Print_Area" localSheetId="5">'Class 4'!$A$1:$J$145</definedName>
    <definedName name="_xlnm.Print_Area" localSheetId="6">'Class 4+'!$A$1:$H$145</definedName>
    <definedName name="_xlnm.Print_Area" localSheetId="7">'Class 5'!$A$1:$F$145</definedName>
    <definedName name="_xlnm.Print_Area" localSheetId="8">'Class 6'!$A$1:$G$145</definedName>
    <definedName name="_xlnm.Print_Area" localSheetId="9">'Class 7'!$A$1:$G$145</definedName>
    <definedName name="_xlnm.Print_Area" localSheetId="0">SummaryStats!$A$1:$J$29</definedName>
    <definedName name="_xlnm.Print_Titles" localSheetId="1">'Class 1'!$A:$B</definedName>
    <definedName name="_xlnm.Print_Titles" localSheetId="2">'Class 2'!$A:$B</definedName>
    <definedName name="_xlnm.Print_Titles" localSheetId="3">'Class 3'!$A:$B</definedName>
    <definedName name="_xlnm.Print_Titles" localSheetId="4">'Class 3+'!$A:$B</definedName>
    <definedName name="_xlnm.Print_Titles" localSheetId="5">'Class 4'!$A:$B</definedName>
    <definedName name="_xlnm.Print_Titles" localSheetId="6">'Class 4+'!$A:$B</definedName>
    <definedName name="_xlnm.Print_Titles" localSheetId="7">'Class 5'!$A:$B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7" i="11" l="1"/>
  <c r="P125" i="11"/>
  <c r="P117" i="11"/>
  <c r="P116" i="11"/>
  <c r="P115" i="11"/>
  <c r="P114" i="11"/>
  <c r="P109" i="11"/>
  <c r="P111" i="11" s="1"/>
  <c r="P96" i="11"/>
  <c r="P98" i="11" s="1"/>
  <c r="P79" i="11"/>
  <c r="P65" i="11"/>
  <c r="P52" i="11"/>
  <c r="P66" i="11" s="1"/>
  <c r="P32" i="11"/>
  <c r="P10" i="11"/>
  <c r="P119" i="11" l="1"/>
  <c r="P132" i="11" s="1"/>
  <c r="P58" i="11"/>
  <c r="P59" i="11"/>
  <c r="P68" i="11" s="1"/>
  <c r="P134" i="11"/>
  <c r="P120" i="11"/>
  <c r="P121" i="11" s="1"/>
  <c r="P56" i="11"/>
  <c r="P123" i="11" s="1"/>
  <c r="P130" i="11"/>
  <c r="P57" i="11"/>
  <c r="P67" i="11"/>
  <c r="C127" i="13" l="1"/>
  <c r="C125" i="13"/>
  <c r="C119" i="13"/>
  <c r="C65" i="13"/>
  <c r="C109" i="13"/>
  <c r="C111" i="13" s="1"/>
  <c r="C120" i="13" s="1"/>
  <c r="C96" i="13"/>
  <c r="C98" i="13" s="1"/>
  <c r="C132" i="13" s="1"/>
  <c r="C52" i="13"/>
  <c r="C66" i="13" s="1"/>
  <c r="C32" i="13"/>
  <c r="C10" i="13"/>
  <c r="C58" i="13" l="1"/>
  <c r="C130" i="13"/>
  <c r="C134" i="13"/>
  <c r="C121" i="13"/>
  <c r="C56" i="13"/>
  <c r="C123" i="13" s="1"/>
  <c r="C59" i="13"/>
  <c r="C68" i="13" s="1"/>
  <c r="C67" i="13"/>
  <c r="C57" i="13"/>
  <c r="K94" i="8" l="1"/>
  <c r="G114" i="10" l="1"/>
  <c r="G117" i="10"/>
  <c r="G115" i="10"/>
  <c r="E94" i="14" l="1"/>
  <c r="C94" i="14" l="1"/>
  <c r="D94" i="13" l="1"/>
  <c r="F94" i="10" l="1"/>
  <c r="G94" i="9" l="1"/>
  <c r="H94" i="9" l="1"/>
  <c r="I94" i="9" l="1"/>
  <c r="I10" i="9"/>
  <c r="E94" i="16" l="1"/>
  <c r="F137" i="16" l="1"/>
  <c r="F94" i="16"/>
  <c r="G137" i="16" l="1"/>
  <c r="G94" i="16"/>
  <c r="J127" i="9"/>
  <c r="J125" i="9"/>
  <c r="J109" i="9"/>
  <c r="J94" i="9"/>
  <c r="J96" i="9" s="1"/>
  <c r="J10" i="9"/>
  <c r="F94" i="12"/>
  <c r="H94" i="8" l="1"/>
  <c r="I94" i="8"/>
  <c r="I14" i="8"/>
  <c r="K94" i="10" l="1"/>
  <c r="E94" i="15" l="1"/>
  <c r="J94" i="12" l="1"/>
  <c r="F85" i="11" l="1"/>
  <c r="F94" i="11"/>
  <c r="G94" i="15" l="1"/>
  <c r="N94" i="10" l="1"/>
  <c r="D94" i="14" l="1"/>
  <c r="G94" i="12" l="1"/>
  <c r="K94" i="9" l="1"/>
  <c r="O94" i="10"/>
  <c r="K94" i="11"/>
  <c r="P94" i="10"/>
  <c r="G94" i="11"/>
  <c r="H94" i="11"/>
  <c r="H14" i="11"/>
  <c r="H94" i="12"/>
  <c r="H14" i="12"/>
  <c r="I94" i="11"/>
  <c r="D94" i="8"/>
  <c r="D85" i="8"/>
  <c r="D14" i="8"/>
  <c r="F94" i="8"/>
  <c r="F84" i="8"/>
  <c r="M94" i="10"/>
  <c r="D94" i="10"/>
  <c r="D14" i="10"/>
  <c r="C94" i="15"/>
  <c r="N94" i="8"/>
  <c r="N14" i="8"/>
  <c r="D94" i="9" l="1"/>
  <c r="D14" i="9"/>
  <c r="H94" i="13"/>
  <c r="H14" i="13"/>
  <c r="C94" i="11"/>
  <c r="C14" i="11"/>
  <c r="O94" i="11"/>
  <c r="O14" i="11"/>
  <c r="D94" i="16"/>
  <c r="D94" i="11"/>
  <c r="C101" i="10"/>
  <c r="C94" i="10"/>
  <c r="C31" i="10"/>
  <c r="C14" i="10"/>
  <c r="C104" i="12"/>
  <c r="C109" i="12"/>
  <c r="C94" i="12"/>
  <c r="C32" i="10" l="1"/>
  <c r="G94" i="13"/>
  <c r="M94" i="11"/>
  <c r="N94" i="11"/>
  <c r="L94" i="11"/>
  <c r="L29" i="11"/>
  <c r="L31" i="11"/>
  <c r="F94" i="15"/>
  <c r="I94" i="10"/>
  <c r="C94" i="8"/>
  <c r="C94" i="16" l="1"/>
  <c r="C53" i="16"/>
  <c r="E94" i="10"/>
  <c r="J101" i="11"/>
  <c r="J94" i="11"/>
  <c r="J85" i="11"/>
  <c r="I94" i="12"/>
  <c r="E101" i="9"/>
  <c r="E94" i="9"/>
  <c r="E85" i="9"/>
  <c r="E14" i="9"/>
  <c r="L94" i="8"/>
  <c r="D94" i="12"/>
  <c r="E94" i="12"/>
  <c r="E42" i="12"/>
  <c r="E21" i="12"/>
  <c r="E14" i="12"/>
  <c r="H94" i="10" l="1"/>
  <c r="C94" i="9"/>
  <c r="J94" i="10"/>
  <c r="J85" i="10"/>
  <c r="M94" i="8"/>
  <c r="F94" i="14"/>
  <c r="E94" i="8"/>
  <c r="E14" i="8"/>
  <c r="E101" i="11"/>
  <c r="E94" i="11"/>
  <c r="E85" i="11"/>
  <c r="E14" i="11"/>
  <c r="O127" i="11"/>
  <c r="O125" i="11"/>
  <c r="O96" i="11"/>
  <c r="O98" i="11" s="1"/>
  <c r="O65" i="11"/>
  <c r="O52" i="11"/>
  <c r="O66" i="11" s="1"/>
  <c r="O32" i="11"/>
  <c r="O10" i="11"/>
  <c r="L101" i="10"/>
  <c r="L94" i="10"/>
  <c r="L85" i="10"/>
  <c r="L14" i="10"/>
  <c r="F94" i="9"/>
  <c r="J94" i="8"/>
  <c r="D94" i="15"/>
  <c r="D85" i="15"/>
  <c r="E102" i="13"/>
  <c r="E94" i="13"/>
  <c r="E85" i="13"/>
  <c r="O59" i="11" l="1"/>
  <c r="O56" i="11"/>
  <c r="O123" i="11" s="1"/>
  <c r="O58" i="11"/>
  <c r="O57" i="11"/>
  <c r="J65" i="9"/>
  <c r="J52" i="9"/>
  <c r="J66" i="9" s="1"/>
  <c r="J32" i="9"/>
  <c r="J56" i="9" l="1"/>
  <c r="J123" i="9" s="1"/>
  <c r="J59" i="9"/>
  <c r="J58" i="9"/>
  <c r="J57" i="9"/>
  <c r="E127" i="14" l="1"/>
  <c r="E125" i="14"/>
  <c r="E117" i="14"/>
  <c r="E116" i="14"/>
  <c r="E115" i="14"/>
  <c r="E114" i="14"/>
  <c r="E65" i="14"/>
  <c r="E52" i="14"/>
  <c r="E32" i="14"/>
  <c r="E10" i="14"/>
  <c r="D52" i="15"/>
  <c r="D32" i="15"/>
  <c r="E66" i="14" l="1"/>
  <c r="G127" i="10" l="1"/>
  <c r="G125" i="10"/>
  <c r="G65" i="10"/>
  <c r="G52" i="10"/>
  <c r="G32" i="10"/>
  <c r="G10" i="10"/>
  <c r="G59" i="10" l="1"/>
  <c r="G56" i="10"/>
  <c r="G123" i="10" s="1"/>
  <c r="G57" i="10"/>
  <c r="G58" i="10"/>
  <c r="J127" i="12" l="1"/>
  <c r="J125" i="12"/>
  <c r="J117" i="12"/>
  <c r="J116" i="12"/>
  <c r="J115" i="12"/>
  <c r="J114" i="12"/>
  <c r="J109" i="12"/>
  <c r="J111" i="12" s="1"/>
  <c r="J96" i="12"/>
  <c r="J98" i="12" s="1"/>
  <c r="J79" i="12"/>
  <c r="J65" i="12"/>
  <c r="J52" i="12"/>
  <c r="J66" i="12" s="1"/>
  <c r="J32" i="12"/>
  <c r="J10" i="12"/>
  <c r="J57" i="12" l="1"/>
  <c r="J119" i="12"/>
  <c r="J134" i="12" s="1"/>
  <c r="J58" i="12"/>
  <c r="J59" i="12"/>
  <c r="J68" i="12" s="1"/>
  <c r="J120" i="12"/>
  <c r="J121" i="12" s="1"/>
  <c r="J130" i="12"/>
  <c r="J67" i="12"/>
  <c r="J56" i="12"/>
  <c r="J123" i="12" s="1"/>
  <c r="J132" i="12" l="1"/>
  <c r="D79" i="16"/>
  <c r="G79" i="16"/>
  <c r="F79" i="16"/>
  <c r="G127" i="16"/>
  <c r="G125" i="16"/>
  <c r="G117" i="16"/>
  <c r="G116" i="16"/>
  <c r="G115" i="16"/>
  <c r="G114" i="16"/>
  <c r="G109" i="16"/>
  <c r="G111" i="16" s="1"/>
  <c r="G96" i="16"/>
  <c r="G98" i="16" s="1"/>
  <c r="G65" i="16"/>
  <c r="G52" i="16"/>
  <c r="G66" i="16" s="1"/>
  <c r="G32" i="16"/>
  <c r="G10" i="16"/>
  <c r="G57" i="16" l="1"/>
  <c r="G58" i="16"/>
  <c r="G59" i="16"/>
  <c r="G68" i="16" s="1"/>
  <c r="G119" i="16"/>
  <c r="G134" i="16" s="1"/>
  <c r="G56" i="16"/>
  <c r="G123" i="16" s="1"/>
  <c r="G120" i="16"/>
  <c r="G121" i="16" s="1"/>
  <c r="G130" i="16"/>
  <c r="G67" i="16"/>
  <c r="G132" i="16" l="1"/>
  <c r="K109" i="11" l="1"/>
  <c r="G10" i="13" l="1"/>
  <c r="G96" i="11" l="1"/>
  <c r="G98" i="11" s="1"/>
  <c r="G127" i="11"/>
  <c r="G125" i="11"/>
  <c r="G117" i="11"/>
  <c r="G116" i="11"/>
  <c r="G115" i="11"/>
  <c r="G114" i="11"/>
  <c r="G109" i="11"/>
  <c r="G111" i="11" s="1"/>
  <c r="G65" i="11"/>
  <c r="G52" i="11"/>
  <c r="G66" i="11" s="1"/>
  <c r="G32" i="11"/>
  <c r="G10" i="11"/>
  <c r="G119" i="11" l="1"/>
  <c r="G134" i="11" s="1"/>
  <c r="G57" i="11"/>
  <c r="G56" i="11"/>
  <c r="G123" i="11" s="1"/>
  <c r="G59" i="11"/>
  <c r="G58" i="11"/>
  <c r="G130" i="11"/>
  <c r="G120" i="11"/>
  <c r="G121" i="11" s="1"/>
  <c r="G132" i="11" l="1"/>
  <c r="E52" i="10"/>
  <c r="J111" i="9" l="1"/>
  <c r="J67" i="9"/>
  <c r="F10" i="16" l="1"/>
  <c r="E10" i="16"/>
  <c r="D10" i="16"/>
  <c r="C10" i="16"/>
  <c r="D65" i="13" l="1"/>
  <c r="E65" i="13"/>
  <c r="F65" i="13"/>
  <c r="G65" i="13"/>
  <c r="H65" i="13"/>
  <c r="F117" i="16" l="1"/>
  <c r="E117" i="16"/>
  <c r="D117" i="16"/>
  <c r="C117" i="16"/>
  <c r="F116" i="16"/>
  <c r="E116" i="16"/>
  <c r="D116" i="16"/>
  <c r="C116" i="16"/>
  <c r="F115" i="16"/>
  <c r="E115" i="16"/>
  <c r="D115" i="16"/>
  <c r="C115" i="16"/>
  <c r="F114" i="16"/>
  <c r="E114" i="16"/>
  <c r="D114" i="16"/>
  <c r="C114" i="16"/>
  <c r="G117" i="15"/>
  <c r="F117" i="15"/>
  <c r="E117" i="15"/>
  <c r="D117" i="15"/>
  <c r="C117" i="15"/>
  <c r="G116" i="15"/>
  <c r="F116" i="15"/>
  <c r="E116" i="15"/>
  <c r="D116" i="15"/>
  <c r="C116" i="15"/>
  <c r="G115" i="15"/>
  <c r="F115" i="15"/>
  <c r="E115" i="15"/>
  <c r="D115" i="15"/>
  <c r="C115" i="15"/>
  <c r="G114" i="15"/>
  <c r="F114" i="15"/>
  <c r="E114" i="15"/>
  <c r="D114" i="15"/>
  <c r="C114" i="15"/>
  <c r="F117" i="14"/>
  <c r="F116" i="14"/>
  <c r="F115" i="14"/>
  <c r="F114" i="14"/>
  <c r="D117" i="14"/>
  <c r="D116" i="14"/>
  <c r="D115" i="14"/>
  <c r="D114" i="14"/>
  <c r="C117" i="14"/>
  <c r="C116" i="14"/>
  <c r="C115" i="14"/>
  <c r="C114" i="14"/>
  <c r="H117" i="13"/>
  <c r="G117" i="13"/>
  <c r="F117" i="13"/>
  <c r="E117" i="13"/>
  <c r="D117" i="13"/>
  <c r="H116" i="13"/>
  <c r="G116" i="13"/>
  <c r="F116" i="13"/>
  <c r="E116" i="13"/>
  <c r="D116" i="13"/>
  <c r="H115" i="13"/>
  <c r="G115" i="13"/>
  <c r="F115" i="13"/>
  <c r="E115" i="13"/>
  <c r="D115" i="13"/>
  <c r="H114" i="13"/>
  <c r="G114" i="13"/>
  <c r="F114" i="13"/>
  <c r="E114" i="13"/>
  <c r="D114" i="13"/>
  <c r="I117" i="12"/>
  <c r="H117" i="12"/>
  <c r="G117" i="12"/>
  <c r="F117" i="12"/>
  <c r="E117" i="12"/>
  <c r="D117" i="12"/>
  <c r="I116" i="12"/>
  <c r="H116" i="12"/>
  <c r="G116" i="12"/>
  <c r="F116" i="12"/>
  <c r="E116" i="12"/>
  <c r="D116" i="12"/>
  <c r="I115" i="12"/>
  <c r="H115" i="12"/>
  <c r="G115" i="12"/>
  <c r="F115" i="12"/>
  <c r="E115" i="12"/>
  <c r="D115" i="12"/>
  <c r="I114" i="12"/>
  <c r="H114" i="12"/>
  <c r="G114" i="12"/>
  <c r="F114" i="12"/>
  <c r="E114" i="12"/>
  <c r="D114" i="12"/>
  <c r="C117" i="12"/>
  <c r="C116" i="12"/>
  <c r="C115" i="12"/>
  <c r="C114" i="12"/>
  <c r="O117" i="11"/>
  <c r="N117" i="11"/>
  <c r="M117" i="11"/>
  <c r="L117" i="11"/>
  <c r="K117" i="11"/>
  <c r="J117" i="11"/>
  <c r="I117" i="11"/>
  <c r="H117" i="11"/>
  <c r="F117" i="11"/>
  <c r="E117" i="11"/>
  <c r="D117" i="11"/>
  <c r="O116" i="11"/>
  <c r="N116" i="11"/>
  <c r="M116" i="11"/>
  <c r="L116" i="11"/>
  <c r="K116" i="11"/>
  <c r="J116" i="11"/>
  <c r="I116" i="11"/>
  <c r="H116" i="11"/>
  <c r="F116" i="11"/>
  <c r="E116" i="11"/>
  <c r="D116" i="11"/>
  <c r="O115" i="11"/>
  <c r="N115" i="11"/>
  <c r="M115" i="11"/>
  <c r="L115" i="11"/>
  <c r="K115" i="11"/>
  <c r="J115" i="11"/>
  <c r="I115" i="11"/>
  <c r="H115" i="11"/>
  <c r="F115" i="11"/>
  <c r="E115" i="11"/>
  <c r="D115" i="11"/>
  <c r="O114" i="11"/>
  <c r="N114" i="11"/>
  <c r="M114" i="11"/>
  <c r="L114" i="11"/>
  <c r="K114" i="11"/>
  <c r="J114" i="11"/>
  <c r="I114" i="11"/>
  <c r="H114" i="11"/>
  <c r="F114" i="11"/>
  <c r="E114" i="11"/>
  <c r="D114" i="11"/>
  <c r="C117" i="11"/>
  <c r="C116" i="11"/>
  <c r="C115" i="11"/>
  <c r="C114" i="11"/>
  <c r="G66" i="10"/>
  <c r="P115" i="10"/>
  <c r="O115" i="10"/>
  <c r="N115" i="10"/>
  <c r="M115" i="10"/>
  <c r="L115" i="10"/>
  <c r="K115" i="10"/>
  <c r="J115" i="10"/>
  <c r="I115" i="10"/>
  <c r="H115" i="10"/>
  <c r="F115" i="10"/>
  <c r="E115" i="10"/>
  <c r="D115" i="10"/>
  <c r="C115" i="10"/>
  <c r="K117" i="9"/>
  <c r="J117" i="9"/>
  <c r="I117" i="9"/>
  <c r="H117" i="9"/>
  <c r="G117" i="9"/>
  <c r="F117" i="9"/>
  <c r="E117" i="9"/>
  <c r="D117" i="9"/>
  <c r="K116" i="9"/>
  <c r="J116" i="9"/>
  <c r="I116" i="9"/>
  <c r="H116" i="9"/>
  <c r="G116" i="9"/>
  <c r="F116" i="9"/>
  <c r="E116" i="9"/>
  <c r="D116" i="9"/>
  <c r="K115" i="9"/>
  <c r="J115" i="9"/>
  <c r="I115" i="9"/>
  <c r="H115" i="9"/>
  <c r="G115" i="9"/>
  <c r="F115" i="9"/>
  <c r="E115" i="9"/>
  <c r="D115" i="9"/>
  <c r="K114" i="9"/>
  <c r="J114" i="9"/>
  <c r="I114" i="9"/>
  <c r="H114" i="9"/>
  <c r="G114" i="9"/>
  <c r="F114" i="9"/>
  <c r="E114" i="9"/>
  <c r="D114" i="9"/>
  <c r="C117" i="9"/>
  <c r="C116" i="9"/>
  <c r="C115" i="9"/>
  <c r="C114" i="9"/>
  <c r="N115" i="8"/>
  <c r="M115" i="8"/>
  <c r="L115" i="8"/>
  <c r="K115" i="8"/>
  <c r="J115" i="8"/>
  <c r="I115" i="8"/>
  <c r="H115" i="8"/>
  <c r="G115" i="8"/>
  <c r="F115" i="8"/>
  <c r="E115" i="8"/>
  <c r="D115" i="8"/>
  <c r="C115" i="8"/>
  <c r="J119" i="9" l="1"/>
  <c r="J120" i="9"/>
  <c r="O119" i="11"/>
  <c r="N117" i="8"/>
  <c r="M117" i="8"/>
  <c r="L117" i="8"/>
  <c r="K117" i="8"/>
  <c r="J117" i="8"/>
  <c r="I117" i="8"/>
  <c r="H117" i="8"/>
  <c r="N116" i="8"/>
  <c r="M116" i="8"/>
  <c r="L116" i="8"/>
  <c r="K116" i="8"/>
  <c r="J116" i="8"/>
  <c r="I116" i="8"/>
  <c r="H116" i="8"/>
  <c r="N114" i="8"/>
  <c r="M114" i="8"/>
  <c r="L114" i="8"/>
  <c r="K114" i="8"/>
  <c r="J114" i="8"/>
  <c r="I114" i="8"/>
  <c r="H114" i="8"/>
  <c r="F117" i="8"/>
  <c r="E117" i="8"/>
  <c r="D117" i="8"/>
  <c r="C117" i="8"/>
  <c r="F116" i="8"/>
  <c r="E116" i="8"/>
  <c r="D116" i="8"/>
  <c r="C116" i="8"/>
  <c r="F114" i="8"/>
  <c r="E114" i="8"/>
  <c r="D114" i="8"/>
  <c r="C114" i="8"/>
  <c r="G117" i="8"/>
  <c r="G116" i="8"/>
  <c r="G114" i="8"/>
  <c r="J134" i="9" l="1"/>
  <c r="O132" i="11"/>
  <c r="P117" i="10"/>
  <c r="O117" i="10"/>
  <c r="N117" i="10"/>
  <c r="M117" i="10"/>
  <c r="L117" i="10"/>
  <c r="K117" i="10"/>
  <c r="J117" i="10"/>
  <c r="I117" i="10"/>
  <c r="H117" i="10"/>
  <c r="F117" i="10"/>
  <c r="E117" i="10"/>
  <c r="D117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P114" i="10"/>
  <c r="O114" i="10"/>
  <c r="N114" i="10"/>
  <c r="M114" i="10"/>
  <c r="L114" i="10"/>
  <c r="K114" i="10"/>
  <c r="J114" i="10"/>
  <c r="I114" i="10"/>
  <c r="H114" i="10"/>
  <c r="F114" i="10"/>
  <c r="E114" i="10"/>
  <c r="D114" i="10"/>
  <c r="C117" i="10"/>
  <c r="C116" i="10"/>
  <c r="C114" i="10"/>
  <c r="L119" i="10" l="1"/>
  <c r="K119" i="10"/>
  <c r="M119" i="10"/>
  <c r="D119" i="10"/>
  <c r="E119" i="10"/>
  <c r="O119" i="10"/>
  <c r="F119" i="10"/>
  <c r="G119" i="10"/>
  <c r="H119" i="10"/>
  <c r="C119" i="10"/>
  <c r="I119" i="10"/>
  <c r="N119" i="10"/>
  <c r="P119" i="10"/>
  <c r="J119" i="10"/>
  <c r="F119" i="16"/>
  <c r="E119" i="16"/>
  <c r="D119" i="16"/>
  <c r="F109" i="16"/>
  <c r="F111" i="16" s="1"/>
  <c r="F120" i="16" s="1"/>
  <c r="E109" i="16"/>
  <c r="E111" i="16" s="1"/>
  <c r="E120" i="16" s="1"/>
  <c r="D109" i="16"/>
  <c r="D111" i="16" s="1"/>
  <c r="D120" i="16" s="1"/>
  <c r="F96" i="16"/>
  <c r="F98" i="16" s="1"/>
  <c r="E96" i="16"/>
  <c r="E98" i="16" s="1"/>
  <c r="D96" i="16"/>
  <c r="D98" i="16" s="1"/>
  <c r="C119" i="16"/>
  <c r="C109" i="16"/>
  <c r="C96" i="16"/>
  <c r="C65" i="16"/>
  <c r="G109" i="15"/>
  <c r="G111" i="15" s="1"/>
  <c r="F109" i="15"/>
  <c r="F111" i="15" s="1"/>
  <c r="E109" i="15"/>
  <c r="E111" i="15" s="1"/>
  <c r="D109" i="15"/>
  <c r="G96" i="15"/>
  <c r="G98" i="15" s="1"/>
  <c r="F96" i="15"/>
  <c r="F98" i="15" s="1"/>
  <c r="E96" i="15"/>
  <c r="E98" i="15" s="1"/>
  <c r="D96" i="15"/>
  <c r="C109" i="15"/>
  <c r="C111" i="15" s="1"/>
  <c r="C96" i="15"/>
  <c r="C98" i="15" s="1"/>
  <c r="D59" i="15"/>
  <c r="D58" i="15"/>
  <c r="D57" i="15"/>
  <c r="D56" i="15"/>
  <c r="C65" i="15"/>
  <c r="F119" i="14"/>
  <c r="E119" i="14"/>
  <c r="D119" i="14"/>
  <c r="F109" i="14"/>
  <c r="F111" i="14" s="1"/>
  <c r="F120" i="14" s="1"/>
  <c r="E109" i="14"/>
  <c r="D109" i="14"/>
  <c r="D111" i="14" s="1"/>
  <c r="D120" i="14" s="1"/>
  <c r="F96" i="14"/>
  <c r="F98" i="14" s="1"/>
  <c r="E96" i="14"/>
  <c r="D96" i="14"/>
  <c r="D98" i="14" s="1"/>
  <c r="C119" i="14"/>
  <c r="C109" i="14"/>
  <c r="C111" i="14" s="1"/>
  <c r="C120" i="14" s="1"/>
  <c r="C96" i="14"/>
  <c r="C98" i="14" s="1"/>
  <c r="E59" i="14"/>
  <c r="E58" i="14"/>
  <c r="E57" i="14"/>
  <c r="E56" i="14"/>
  <c r="E123" i="14" s="1"/>
  <c r="E67" i="14"/>
  <c r="C65" i="14"/>
  <c r="H109" i="13"/>
  <c r="H111" i="13" s="1"/>
  <c r="G109" i="13"/>
  <c r="G111" i="13" s="1"/>
  <c r="F109" i="13"/>
  <c r="F111" i="13" s="1"/>
  <c r="E109" i="13"/>
  <c r="E111" i="13" s="1"/>
  <c r="D109" i="13"/>
  <c r="H96" i="13"/>
  <c r="H98" i="13" s="1"/>
  <c r="G96" i="13"/>
  <c r="G98" i="13" s="1"/>
  <c r="F96" i="13"/>
  <c r="F98" i="13" s="1"/>
  <c r="E96" i="13"/>
  <c r="E98" i="13" s="1"/>
  <c r="D96" i="13"/>
  <c r="I109" i="12"/>
  <c r="I111" i="12" s="1"/>
  <c r="H109" i="12"/>
  <c r="H111" i="12" s="1"/>
  <c r="G109" i="12"/>
  <c r="G111" i="12" s="1"/>
  <c r="F109" i="12"/>
  <c r="F111" i="12" s="1"/>
  <c r="E109" i="12"/>
  <c r="E111" i="12" s="1"/>
  <c r="D109" i="12"/>
  <c r="D111" i="12" s="1"/>
  <c r="I96" i="12"/>
  <c r="I98" i="12" s="1"/>
  <c r="H96" i="12"/>
  <c r="H98" i="12" s="1"/>
  <c r="G96" i="12"/>
  <c r="G98" i="12" s="1"/>
  <c r="F96" i="12"/>
  <c r="F98" i="12" s="1"/>
  <c r="E96" i="12"/>
  <c r="E98" i="12" s="1"/>
  <c r="D96" i="12"/>
  <c r="D98" i="12" s="1"/>
  <c r="C96" i="12"/>
  <c r="O109" i="11"/>
  <c r="O111" i="11" s="1"/>
  <c r="N109" i="11"/>
  <c r="N111" i="11" s="1"/>
  <c r="M109" i="11"/>
  <c r="M111" i="11" s="1"/>
  <c r="L109" i="11"/>
  <c r="L111" i="11" s="1"/>
  <c r="K111" i="11"/>
  <c r="J109" i="11"/>
  <c r="J111" i="11" s="1"/>
  <c r="I109" i="11"/>
  <c r="I111" i="11" s="1"/>
  <c r="H109" i="11"/>
  <c r="H111" i="11" s="1"/>
  <c r="F109" i="11"/>
  <c r="F111" i="11" s="1"/>
  <c r="E109" i="11"/>
  <c r="E111" i="11" s="1"/>
  <c r="D109" i="11"/>
  <c r="D111" i="11" s="1"/>
  <c r="C109" i="11"/>
  <c r="N96" i="11"/>
  <c r="N98" i="11" s="1"/>
  <c r="M96" i="11"/>
  <c r="M98" i="11" s="1"/>
  <c r="L96" i="11"/>
  <c r="L98" i="11" s="1"/>
  <c r="K96" i="11"/>
  <c r="K98" i="11" s="1"/>
  <c r="J96" i="11"/>
  <c r="J98" i="11" s="1"/>
  <c r="I96" i="11"/>
  <c r="I98" i="11" s="1"/>
  <c r="H96" i="11"/>
  <c r="H98" i="11" s="1"/>
  <c r="F96" i="11"/>
  <c r="F98" i="11" s="1"/>
  <c r="E96" i="11"/>
  <c r="E98" i="11" s="1"/>
  <c r="D96" i="11"/>
  <c r="D98" i="11" s="1"/>
  <c r="C96" i="11"/>
  <c r="O68" i="11"/>
  <c r="G68" i="11"/>
  <c r="O67" i="11"/>
  <c r="G67" i="11"/>
  <c r="C52" i="11"/>
  <c r="I109" i="9"/>
  <c r="I111" i="9" s="1"/>
  <c r="H109" i="9"/>
  <c r="H111" i="9" s="1"/>
  <c r="G109" i="9"/>
  <c r="G111" i="9" s="1"/>
  <c r="F109" i="9"/>
  <c r="F111" i="9" s="1"/>
  <c r="E109" i="9"/>
  <c r="E111" i="9" s="1"/>
  <c r="D109" i="9"/>
  <c r="D111" i="9" s="1"/>
  <c r="C109" i="9"/>
  <c r="C109" i="10"/>
  <c r="C111" i="10" s="1"/>
  <c r="D109" i="10"/>
  <c r="D111" i="10" s="1"/>
  <c r="P109" i="10"/>
  <c r="P111" i="10" s="1"/>
  <c r="O109" i="10"/>
  <c r="O111" i="10" s="1"/>
  <c r="N109" i="10"/>
  <c r="N111" i="10" s="1"/>
  <c r="M109" i="10"/>
  <c r="M111" i="10" s="1"/>
  <c r="L109" i="10"/>
  <c r="L111" i="10" s="1"/>
  <c r="K109" i="10"/>
  <c r="K111" i="10" s="1"/>
  <c r="J109" i="10"/>
  <c r="J111" i="10" s="1"/>
  <c r="I109" i="10"/>
  <c r="I111" i="10" s="1"/>
  <c r="H109" i="10"/>
  <c r="H111" i="10" s="1"/>
  <c r="G109" i="10"/>
  <c r="G111" i="10" s="1"/>
  <c r="G120" i="10" s="1"/>
  <c r="F109" i="10"/>
  <c r="F111" i="10" s="1"/>
  <c r="E109" i="10"/>
  <c r="E111" i="10" s="1"/>
  <c r="P96" i="10"/>
  <c r="P98" i="10" s="1"/>
  <c r="O96" i="10"/>
  <c r="O98" i="10" s="1"/>
  <c r="N96" i="10"/>
  <c r="N98" i="10" s="1"/>
  <c r="M96" i="10"/>
  <c r="M98" i="10" s="1"/>
  <c r="L96" i="10"/>
  <c r="L98" i="10" s="1"/>
  <c r="K96" i="10"/>
  <c r="K98" i="10" s="1"/>
  <c r="J96" i="10"/>
  <c r="J98" i="10" s="1"/>
  <c r="I96" i="10"/>
  <c r="I98" i="10" s="1"/>
  <c r="H96" i="10"/>
  <c r="H98" i="10" s="1"/>
  <c r="G96" i="10"/>
  <c r="F96" i="10"/>
  <c r="F98" i="10" s="1"/>
  <c r="E96" i="10"/>
  <c r="E98" i="10" s="1"/>
  <c r="D96" i="10"/>
  <c r="D98" i="10" s="1"/>
  <c r="C96" i="10"/>
  <c r="C98" i="10" s="1"/>
  <c r="G67" i="10"/>
  <c r="K109" i="9"/>
  <c r="K111" i="9" s="1"/>
  <c r="J98" i="9"/>
  <c r="E96" i="9"/>
  <c r="E98" i="9" s="1"/>
  <c r="I96" i="9"/>
  <c r="I98" i="9" s="1"/>
  <c r="H96" i="9"/>
  <c r="H98" i="9" s="1"/>
  <c r="G96" i="9"/>
  <c r="G98" i="9" s="1"/>
  <c r="F96" i="9"/>
  <c r="F98" i="9" s="1"/>
  <c r="D96" i="9"/>
  <c r="D98" i="9" s="1"/>
  <c r="K96" i="9"/>
  <c r="K98" i="9" s="1"/>
  <c r="C96" i="9"/>
  <c r="N109" i="8"/>
  <c r="N111" i="8" s="1"/>
  <c r="M109" i="8"/>
  <c r="M111" i="8" s="1"/>
  <c r="L109" i="8"/>
  <c r="L111" i="8" s="1"/>
  <c r="K109" i="8"/>
  <c r="K111" i="8" s="1"/>
  <c r="J109" i="8"/>
  <c r="J111" i="8" s="1"/>
  <c r="I109" i="8"/>
  <c r="I111" i="8" s="1"/>
  <c r="H109" i="8"/>
  <c r="H111" i="8" s="1"/>
  <c r="G109" i="8"/>
  <c r="G111" i="8" s="1"/>
  <c r="F109" i="8"/>
  <c r="F111" i="8" s="1"/>
  <c r="E109" i="8"/>
  <c r="E111" i="8" s="1"/>
  <c r="D109" i="8"/>
  <c r="D111" i="8" s="1"/>
  <c r="C109" i="8"/>
  <c r="N96" i="8"/>
  <c r="N98" i="8" s="1"/>
  <c r="M96" i="8"/>
  <c r="M98" i="8" s="1"/>
  <c r="L96" i="8"/>
  <c r="L98" i="8" s="1"/>
  <c r="K96" i="8"/>
  <c r="K98" i="8" s="1"/>
  <c r="J96" i="8"/>
  <c r="J98" i="8" s="1"/>
  <c r="I96" i="8"/>
  <c r="I98" i="8" s="1"/>
  <c r="H96" i="8"/>
  <c r="H98" i="8" s="1"/>
  <c r="G96" i="8"/>
  <c r="G98" i="8" s="1"/>
  <c r="F96" i="8"/>
  <c r="F98" i="8" s="1"/>
  <c r="E96" i="8"/>
  <c r="E98" i="8" s="1"/>
  <c r="D96" i="8"/>
  <c r="D98" i="8" s="1"/>
  <c r="C96" i="8"/>
  <c r="C98" i="8" s="1"/>
  <c r="D65" i="14"/>
  <c r="F65" i="14"/>
  <c r="N65" i="8"/>
  <c r="M65" i="8"/>
  <c r="L65" i="8"/>
  <c r="K65" i="8"/>
  <c r="J65" i="8"/>
  <c r="I65" i="8"/>
  <c r="H65" i="8"/>
  <c r="G65" i="8"/>
  <c r="F65" i="8"/>
  <c r="E65" i="8"/>
  <c r="D65" i="8"/>
  <c r="C65" i="8"/>
  <c r="C65" i="9"/>
  <c r="D65" i="9"/>
  <c r="E65" i="9"/>
  <c r="F65" i="9"/>
  <c r="G65" i="9"/>
  <c r="H65" i="9"/>
  <c r="I65" i="9"/>
  <c r="K65" i="9"/>
  <c r="J121" i="9" l="1"/>
  <c r="J130" i="9"/>
  <c r="J132" i="9"/>
  <c r="O130" i="11"/>
  <c r="O120" i="11"/>
  <c r="O121" i="11" s="1"/>
  <c r="O134" i="11"/>
  <c r="C111" i="8"/>
  <c r="C111" i="16"/>
  <c r="C120" i="16" s="1"/>
  <c r="C98" i="11"/>
  <c r="C111" i="9"/>
  <c r="C111" i="11"/>
  <c r="C98" i="12"/>
  <c r="C98" i="9"/>
  <c r="C98" i="16"/>
  <c r="C111" i="12"/>
  <c r="D111" i="13"/>
  <c r="D98" i="13"/>
  <c r="G98" i="10"/>
  <c r="G134" i="10"/>
  <c r="E111" i="14"/>
  <c r="E120" i="14" s="1"/>
  <c r="E98" i="14"/>
  <c r="D111" i="15"/>
  <c r="D98" i="15"/>
  <c r="F121" i="14"/>
  <c r="N127" i="10"/>
  <c r="N125" i="10"/>
  <c r="N120" i="10"/>
  <c r="N65" i="10"/>
  <c r="N52" i="10"/>
  <c r="N66" i="10" s="1"/>
  <c r="N32" i="10"/>
  <c r="N10" i="10"/>
  <c r="E134" i="14" l="1"/>
  <c r="G130" i="10"/>
  <c r="G121" i="10"/>
  <c r="G132" i="10"/>
  <c r="E132" i="14"/>
  <c r="E121" i="14"/>
  <c r="E130" i="14"/>
  <c r="N59" i="10"/>
  <c r="N58" i="10"/>
  <c r="N56" i="10"/>
  <c r="N123" i="10" s="1"/>
  <c r="N57" i="10"/>
  <c r="N67" i="10"/>
  <c r="N130" i="10"/>
  <c r="N134" i="10"/>
  <c r="N132" i="10"/>
  <c r="J127" i="8"/>
  <c r="J125" i="8"/>
  <c r="J52" i="8"/>
  <c r="J66" i="8" s="1"/>
  <c r="J32" i="8"/>
  <c r="J10" i="8"/>
  <c r="J58" i="8" l="1"/>
  <c r="J59" i="8"/>
  <c r="J56" i="8"/>
  <c r="J123" i="8" s="1"/>
  <c r="J57" i="8"/>
  <c r="J67" i="8"/>
  <c r="J130" i="8"/>
  <c r="J120" i="8"/>
  <c r="J121" i="8" s="1"/>
  <c r="J119" i="8"/>
  <c r="J134" i="8" l="1"/>
  <c r="J132" i="8"/>
  <c r="F127" i="14"/>
  <c r="F125" i="14"/>
  <c r="F52" i="14"/>
  <c r="F66" i="14" s="1"/>
  <c r="F32" i="14"/>
  <c r="F10" i="14"/>
  <c r="F67" i="14" l="1"/>
  <c r="F58" i="14"/>
  <c r="F57" i="14"/>
  <c r="F56" i="14"/>
  <c r="F59" i="14"/>
  <c r="F132" i="14"/>
  <c r="F134" i="14"/>
  <c r="F130" i="14"/>
  <c r="O79" i="11"/>
  <c r="G79" i="11"/>
  <c r="F123" i="14" l="1"/>
  <c r="E68" i="14"/>
  <c r="G68" i="10" l="1"/>
  <c r="F127" i="16" l="1"/>
  <c r="E127" i="16"/>
  <c r="D127" i="16"/>
  <c r="C127" i="16"/>
  <c r="F125" i="16"/>
  <c r="E125" i="16"/>
  <c r="D125" i="16"/>
  <c r="C125" i="16"/>
  <c r="G127" i="15"/>
  <c r="F127" i="15"/>
  <c r="E127" i="15"/>
  <c r="D127" i="15"/>
  <c r="C127" i="15"/>
  <c r="G125" i="15"/>
  <c r="F125" i="15"/>
  <c r="E125" i="15"/>
  <c r="D125" i="15"/>
  <c r="C125" i="15"/>
  <c r="D127" i="14"/>
  <c r="C127" i="14"/>
  <c r="D125" i="14"/>
  <c r="C125" i="14"/>
  <c r="H127" i="13"/>
  <c r="G127" i="13"/>
  <c r="F127" i="13"/>
  <c r="E127" i="13"/>
  <c r="D127" i="13"/>
  <c r="H125" i="13"/>
  <c r="G125" i="13"/>
  <c r="F125" i="13"/>
  <c r="E125" i="13"/>
  <c r="D125" i="13"/>
  <c r="I127" i="12"/>
  <c r="H127" i="12"/>
  <c r="G127" i="12"/>
  <c r="F127" i="12"/>
  <c r="E127" i="12"/>
  <c r="D127" i="12"/>
  <c r="C127" i="12"/>
  <c r="I125" i="12"/>
  <c r="H125" i="12"/>
  <c r="G125" i="12"/>
  <c r="F125" i="12"/>
  <c r="E125" i="12"/>
  <c r="D125" i="12"/>
  <c r="C125" i="12"/>
  <c r="N127" i="11"/>
  <c r="M127" i="11"/>
  <c r="L127" i="11"/>
  <c r="K127" i="11"/>
  <c r="J127" i="11"/>
  <c r="I127" i="11"/>
  <c r="H127" i="11"/>
  <c r="F127" i="11"/>
  <c r="E127" i="11"/>
  <c r="D127" i="11"/>
  <c r="C127" i="11"/>
  <c r="N125" i="11"/>
  <c r="M125" i="11"/>
  <c r="L125" i="11"/>
  <c r="K125" i="11"/>
  <c r="J125" i="11"/>
  <c r="I125" i="11"/>
  <c r="H125" i="11"/>
  <c r="F125" i="11"/>
  <c r="E125" i="11"/>
  <c r="D125" i="11"/>
  <c r="C125" i="11"/>
  <c r="P127" i="10"/>
  <c r="O127" i="10"/>
  <c r="M127" i="10"/>
  <c r="L127" i="10"/>
  <c r="K127" i="10"/>
  <c r="J127" i="10"/>
  <c r="I127" i="10"/>
  <c r="H127" i="10"/>
  <c r="F127" i="10"/>
  <c r="E127" i="10"/>
  <c r="D127" i="10"/>
  <c r="C127" i="10"/>
  <c r="P125" i="10"/>
  <c r="O125" i="10"/>
  <c r="M125" i="10"/>
  <c r="L125" i="10"/>
  <c r="K125" i="10"/>
  <c r="J125" i="10"/>
  <c r="I125" i="10"/>
  <c r="H125" i="10"/>
  <c r="F125" i="10"/>
  <c r="E125" i="10"/>
  <c r="D125" i="10"/>
  <c r="C125" i="10"/>
  <c r="K127" i="9"/>
  <c r="I127" i="9"/>
  <c r="H127" i="9"/>
  <c r="G127" i="9"/>
  <c r="F127" i="9"/>
  <c r="E127" i="9"/>
  <c r="D127" i="9"/>
  <c r="C127" i="9"/>
  <c r="K125" i="9"/>
  <c r="I125" i="9"/>
  <c r="H125" i="9"/>
  <c r="G125" i="9"/>
  <c r="F125" i="9"/>
  <c r="E125" i="9"/>
  <c r="D125" i="9"/>
  <c r="C125" i="9"/>
  <c r="N127" i="8"/>
  <c r="M127" i="8"/>
  <c r="L127" i="8"/>
  <c r="K127" i="8"/>
  <c r="H127" i="8"/>
  <c r="G127" i="8"/>
  <c r="N125" i="8"/>
  <c r="M125" i="8"/>
  <c r="L125" i="8"/>
  <c r="K125" i="8"/>
  <c r="H125" i="8"/>
  <c r="G125" i="8"/>
  <c r="C125" i="8"/>
  <c r="C127" i="8"/>
  <c r="E125" i="8"/>
  <c r="E127" i="8"/>
  <c r="J21" i="1" l="1"/>
  <c r="I21" i="1"/>
  <c r="H21" i="1"/>
  <c r="G21" i="1"/>
  <c r="F21" i="1"/>
  <c r="E21" i="1"/>
  <c r="D21" i="1"/>
  <c r="C21" i="1"/>
  <c r="B21" i="1"/>
  <c r="D79" i="15" l="1"/>
  <c r="E10" i="1" l="1"/>
  <c r="E8" i="1"/>
  <c r="E6" i="1"/>
  <c r="D8" i="1"/>
  <c r="J25" i="1"/>
  <c r="J24" i="1"/>
  <c r="J23" i="1"/>
  <c r="I25" i="1"/>
  <c r="I24" i="1"/>
  <c r="I23" i="1"/>
  <c r="H25" i="1"/>
  <c r="H24" i="1"/>
  <c r="H23" i="1"/>
  <c r="G25" i="1"/>
  <c r="G24" i="1"/>
  <c r="G23" i="1"/>
  <c r="F25" i="1"/>
  <c r="F24" i="1"/>
  <c r="F23" i="1"/>
  <c r="E25" i="1"/>
  <c r="E24" i="1"/>
  <c r="E23" i="1"/>
  <c r="D25" i="1"/>
  <c r="D24" i="1"/>
  <c r="D23" i="1"/>
  <c r="C25" i="1"/>
  <c r="C24" i="1"/>
  <c r="C23" i="1"/>
  <c r="B25" i="1"/>
  <c r="B24" i="1"/>
  <c r="B23" i="1"/>
  <c r="J22" i="1"/>
  <c r="I22" i="1"/>
  <c r="H22" i="1"/>
  <c r="G22" i="1"/>
  <c r="F22" i="1"/>
  <c r="E22" i="1"/>
  <c r="D22" i="1"/>
  <c r="C22" i="1"/>
  <c r="B22" i="1"/>
  <c r="J10" i="1"/>
  <c r="I10" i="1"/>
  <c r="H10" i="1"/>
  <c r="G10" i="1"/>
  <c r="F10" i="1"/>
  <c r="D10" i="1"/>
  <c r="C10" i="1"/>
  <c r="J8" i="1"/>
  <c r="I8" i="1"/>
  <c r="H8" i="1"/>
  <c r="G8" i="1"/>
  <c r="F8" i="1"/>
  <c r="C8" i="1"/>
  <c r="J6" i="1"/>
  <c r="I6" i="1"/>
  <c r="H6" i="1"/>
  <c r="G6" i="1"/>
  <c r="F6" i="1"/>
  <c r="D6" i="1"/>
  <c r="C6" i="1"/>
  <c r="E79" i="16"/>
  <c r="C79" i="16"/>
  <c r="F65" i="16"/>
  <c r="E65" i="16"/>
  <c r="D65" i="16"/>
  <c r="F52" i="16"/>
  <c r="F66" i="16" s="1"/>
  <c r="E52" i="16"/>
  <c r="D52" i="16"/>
  <c r="D66" i="16" s="1"/>
  <c r="C52" i="16"/>
  <c r="F32" i="16"/>
  <c r="E32" i="16"/>
  <c r="D32" i="16"/>
  <c r="C32" i="16"/>
  <c r="G130" i="15"/>
  <c r="G79" i="15"/>
  <c r="F79" i="15"/>
  <c r="E79" i="15"/>
  <c r="C79" i="15"/>
  <c r="G65" i="15"/>
  <c r="F65" i="15"/>
  <c r="E65" i="15"/>
  <c r="D65" i="15"/>
  <c r="G52" i="15"/>
  <c r="F52" i="15"/>
  <c r="F66" i="15" s="1"/>
  <c r="E52" i="15"/>
  <c r="E66" i="15" s="1"/>
  <c r="C52" i="15"/>
  <c r="G32" i="15"/>
  <c r="E32" i="15"/>
  <c r="C32" i="15"/>
  <c r="G10" i="15"/>
  <c r="F10" i="15"/>
  <c r="E10" i="15"/>
  <c r="D10" i="15"/>
  <c r="C10" i="15"/>
  <c r="F79" i="14"/>
  <c r="E79" i="14"/>
  <c r="D79" i="14"/>
  <c r="C79" i="14"/>
  <c r="D52" i="14"/>
  <c r="D66" i="14" s="1"/>
  <c r="C52" i="14"/>
  <c r="D32" i="14"/>
  <c r="C32" i="14"/>
  <c r="D10" i="14"/>
  <c r="C10" i="14"/>
  <c r="D130" i="13"/>
  <c r="H79" i="13"/>
  <c r="G79" i="13"/>
  <c r="F79" i="13"/>
  <c r="E79" i="13"/>
  <c r="D79" i="13"/>
  <c r="C79" i="13"/>
  <c r="H52" i="13"/>
  <c r="H66" i="13" s="1"/>
  <c r="G52" i="13"/>
  <c r="G66" i="13" s="1"/>
  <c r="F52" i="13"/>
  <c r="F66" i="13" s="1"/>
  <c r="E52" i="13"/>
  <c r="E66" i="13" s="1"/>
  <c r="D52" i="13"/>
  <c r="D66" i="13" s="1"/>
  <c r="H32" i="13"/>
  <c r="G32" i="13"/>
  <c r="F32" i="13"/>
  <c r="E32" i="13"/>
  <c r="D32" i="13"/>
  <c r="H10" i="13"/>
  <c r="F10" i="13"/>
  <c r="E10" i="13"/>
  <c r="D10" i="13"/>
  <c r="D119" i="12"/>
  <c r="E120" i="12"/>
  <c r="I130" i="12"/>
  <c r="F130" i="12"/>
  <c r="D130" i="12"/>
  <c r="C130" i="12"/>
  <c r="I79" i="12"/>
  <c r="H79" i="12"/>
  <c r="G79" i="12"/>
  <c r="F79" i="12"/>
  <c r="E79" i="12"/>
  <c r="D79" i="12"/>
  <c r="C79" i="12"/>
  <c r="I65" i="12"/>
  <c r="H65" i="12"/>
  <c r="G65" i="12"/>
  <c r="F65" i="12"/>
  <c r="E65" i="12"/>
  <c r="D65" i="12"/>
  <c r="C65" i="12"/>
  <c r="I52" i="12"/>
  <c r="I66" i="12" s="1"/>
  <c r="H52" i="12"/>
  <c r="H66" i="12" s="1"/>
  <c r="G52" i="12"/>
  <c r="F52" i="12"/>
  <c r="D52" i="12"/>
  <c r="D66" i="12" s="1"/>
  <c r="C52" i="12"/>
  <c r="E52" i="12"/>
  <c r="E66" i="12" s="1"/>
  <c r="I32" i="12"/>
  <c r="H32" i="12"/>
  <c r="G32" i="12"/>
  <c r="F32" i="12"/>
  <c r="D32" i="12"/>
  <c r="C32" i="12"/>
  <c r="E32" i="12"/>
  <c r="I10" i="12"/>
  <c r="H10" i="12"/>
  <c r="G10" i="12"/>
  <c r="F10" i="12"/>
  <c r="E10" i="12"/>
  <c r="D10" i="12"/>
  <c r="C10" i="12"/>
  <c r="C130" i="11"/>
  <c r="N130" i="11"/>
  <c r="L130" i="11"/>
  <c r="K130" i="11"/>
  <c r="F130" i="11"/>
  <c r="D130" i="11"/>
  <c r="N79" i="11"/>
  <c r="M79" i="11"/>
  <c r="L79" i="11"/>
  <c r="K79" i="11"/>
  <c r="J79" i="11"/>
  <c r="I79" i="11"/>
  <c r="H79" i="11"/>
  <c r="F79" i="11"/>
  <c r="E79" i="11"/>
  <c r="D79" i="11"/>
  <c r="C79" i="11"/>
  <c r="N65" i="11"/>
  <c r="M65" i="11"/>
  <c r="L65" i="11"/>
  <c r="K65" i="11"/>
  <c r="J65" i="11"/>
  <c r="I65" i="11"/>
  <c r="H65" i="11"/>
  <c r="F65" i="11"/>
  <c r="E65" i="11"/>
  <c r="D65" i="11"/>
  <c r="C65" i="11"/>
  <c r="N52" i="11"/>
  <c r="M52" i="11"/>
  <c r="L52" i="11"/>
  <c r="K52" i="11"/>
  <c r="J52" i="11"/>
  <c r="I52" i="11"/>
  <c r="H52" i="11"/>
  <c r="F52" i="11"/>
  <c r="E52" i="11"/>
  <c r="D52" i="11"/>
  <c r="N32" i="11"/>
  <c r="M32" i="11"/>
  <c r="L32" i="11"/>
  <c r="K32" i="11"/>
  <c r="J32" i="11"/>
  <c r="I32" i="11"/>
  <c r="H32" i="11"/>
  <c r="F32" i="11"/>
  <c r="E32" i="11"/>
  <c r="D32" i="11"/>
  <c r="C32" i="11"/>
  <c r="N10" i="11"/>
  <c r="M10" i="11"/>
  <c r="L10" i="11"/>
  <c r="K10" i="11"/>
  <c r="J10" i="11"/>
  <c r="I10" i="11"/>
  <c r="H10" i="11"/>
  <c r="F10" i="11"/>
  <c r="E10" i="11"/>
  <c r="D10" i="11"/>
  <c r="C10" i="11"/>
  <c r="H130" i="10"/>
  <c r="K130" i="10"/>
  <c r="I130" i="10"/>
  <c r="E130" i="10"/>
  <c r="C130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P65" i="10"/>
  <c r="O65" i="10"/>
  <c r="M65" i="10"/>
  <c r="L65" i="10"/>
  <c r="K65" i="10"/>
  <c r="J65" i="10"/>
  <c r="I65" i="10"/>
  <c r="H65" i="10"/>
  <c r="F65" i="10"/>
  <c r="E65" i="10"/>
  <c r="D65" i="10"/>
  <c r="C65" i="10"/>
  <c r="P52" i="10"/>
  <c r="P66" i="10" s="1"/>
  <c r="O52" i="10"/>
  <c r="O66" i="10" s="1"/>
  <c r="M52" i="10"/>
  <c r="M66" i="10" s="1"/>
  <c r="L52" i="10"/>
  <c r="L66" i="10" s="1"/>
  <c r="K52" i="10"/>
  <c r="K66" i="10" s="1"/>
  <c r="J52" i="10"/>
  <c r="J66" i="10" s="1"/>
  <c r="I52" i="10"/>
  <c r="H52" i="10"/>
  <c r="H66" i="10" s="1"/>
  <c r="F52" i="10"/>
  <c r="F66" i="10" s="1"/>
  <c r="E66" i="10"/>
  <c r="D52" i="10"/>
  <c r="D66" i="10" s="1"/>
  <c r="C52" i="10"/>
  <c r="P32" i="10"/>
  <c r="O32" i="10"/>
  <c r="M32" i="10"/>
  <c r="L32" i="10"/>
  <c r="K32" i="10"/>
  <c r="J32" i="10"/>
  <c r="I32" i="10"/>
  <c r="H32" i="10"/>
  <c r="F32" i="10"/>
  <c r="E32" i="10"/>
  <c r="D32" i="10"/>
  <c r="P10" i="10"/>
  <c r="O10" i="10"/>
  <c r="M10" i="10"/>
  <c r="L10" i="10"/>
  <c r="K10" i="10"/>
  <c r="J10" i="10"/>
  <c r="I10" i="10"/>
  <c r="H10" i="10"/>
  <c r="F10" i="10"/>
  <c r="E10" i="10"/>
  <c r="D10" i="10"/>
  <c r="C10" i="10"/>
  <c r="G130" i="9"/>
  <c r="K130" i="9"/>
  <c r="I130" i="9"/>
  <c r="H130" i="9"/>
  <c r="F130" i="9"/>
  <c r="K79" i="9"/>
  <c r="J79" i="9"/>
  <c r="I79" i="9"/>
  <c r="H79" i="9"/>
  <c r="G79" i="9"/>
  <c r="E79" i="9"/>
  <c r="D79" i="9"/>
  <c r="C79" i="9"/>
  <c r="K52" i="9"/>
  <c r="K66" i="9" s="1"/>
  <c r="I52" i="9"/>
  <c r="I66" i="9" s="1"/>
  <c r="H52" i="9"/>
  <c r="H66" i="9" s="1"/>
  <c r="F52" i="9"/>
  <c r="F66" i="9" s="1"/>
  <c r="E52" i="9"/>
  <c r="E66" i="9" s="1"/>
  <c r="D52" i="9"/>
  <c r="D66" i="9" s="1"/>
  <c r="C52" i="9"/>
  <c r="K32" i="9"/>
  <c r="I32" i="9"/>
  <c r="H32" i="9"/>
  <c r="G32" i="9"/>
  <c r="F32" i="9"/>
  <c r="E32" i="9"/>
  <c r="D32" i="9"/>
  <c r="C32" i="9"/>
  <c r="K10" i="9"/>
  <c r="H10" i="9"/>
  <c r="G10" i="9"/>
  <c r="F10" i="9"/>
  <c r="E10" i="9"/>
  <c r="D10" i="9"/>
  <c r="C10" i="9"/>
  <c r="N79" i="8"/>
  <c r="M79" i="8"/>
  <c r="L79" i="8"/>
  <c r="K79" i="8"/>
  <c r="J79" i="8"/>
  <c r="I79" i="8"/>
  <c r="H79" i="8"/>
  <c r="G79" i="8"/>
  <c r="F79" i="8"/>
  <c r="E79" i="8"/>
  <c r="D79" i="8"/>
  <c r="C79" i="8"/>
  <c r="N52" i="8"/>
  <c r="N66" i="8" s="1"/>
  <c r="M52" i="8"/>
  <c r="M66" i="8" s="1"/>
  <c r="L52" i="8"/>
  <c r="K52" i="8"/>
  <c r="K66" i="8" s="1"/>
  <c r="I52" i="8"/>
  <c r="I66" i="8" s="1"/>
  <c r="H52" i="8"/>
  <c r="H66" i="8" s="1"/>
  <c r="G52" i="8"/>
  <c r="G66" i="8" s="1"/>
  <c r="F52" i="8"/>
  <c r="F66" i="8" s="1"/>
  <c r="E52" i="8"/>
  <c r="E66" i="8" s="1"/>
  <c r="D52" i="8"/>
  <c r="D66" i="8" s="1"/>
  <c r="C52" i="8"/>
  <c r="N32" i="8"/>
  <c r="M32" i="8"/>
  <c r="L32" i="8"/>
  <c r="K32" i="8"/>
  <c r="H32" i="8"/>
  <c r="G32" i="8"/>
  <c r="F32" i="8"/>
  <c r="E32" i="8"/>
  <c r="D32" i="8"/>
  <c r="C32" i="8"/>
  <c r="N10" i="8"/>
  <c r="M10" i="8"/>
  <c r="L10" i="8"/>
  <c r="K10" i="8"/>
  <c r="I10" i="8"/>
  <c r="H10" i="8"/>
  <c r="G10" i="8"/>
  <c r="F10" i="8"/>
  <c r="E10" i="8"/>
  <c r="D10" i="8"/>
  <c r="C10" i="8"/>
  <c r="F12" i="1" l="1"/>
  <c r="F14" i="1"/>
  <c r="E12" i="1"/>
  <c r="E14" i="1"/>
  <c r="J12" i="1"/>
  <c r="J14" i="1"/>
  <c r="H12" i="1"/>
  <c r="H14" i="1"/>
  <c r="D15" i="1"/>
  <c r="D13" i="1"/>
  <c r="C66" i="16"/>
  <c r="J15" i="1"/>
  <c r="J13" i="1"/>
  <c r="G12" i="1"/>
  <c r="G14" i="1"/>
  <c r="G13" i="1"/>
  <c r="G15" i="1"/>
  <c r="C66" i="14"/>
  <c r="H13" i="1"/>
  <c r="H15" i="1"/>
  <c r="C66" i="15"/>
  <c r="I13" i="1"/>
  <c r="I15" i="1"/>
  <c r="B13" i="1"/>
  <c r="C12" i="1"/>
  <c r="C14" i="1"/>
  <c r="E15" i="1"/>
  <c r="E13" i="1"/>
  <c r="F15" i="1"/>
  <c r="F13" i="1"/>
  <c r="D12" i="1"/>
  <c r="D14" i="1"/>
  <c r="E56" i="16"/>
  <c r="E123" i="16" s="1"/>
  <c r="N67" i="8"/>
  <c r="D67" i="9"/>
  <c r="D67" i="13"/>
  <c r="G67" i="15"/>
  <c r="H67" i="8"/>
  <c r="K56" i="8"/>
  <c r="K123" i="8" s="1"/>
  <c r="K59" i="8"/>
  <c r="K68" i="8" s="1"/>
  <c r="K57" i="8"/>
  <c r="K58" i="8"/>
  <c r="H67" i="9"/>
  <c r="G67" i="8"/>
  <c r="K67" i="8"/>
  <c r="K67" i="9"/>
  <c r="C67" i="12"/>
  <c r="K56" i="9"/>
  <c r="K123" i="9" s="1"/>
  <c r="K59" i="9"/>
  <c r="K68" i="9" s="1"/>
  <c r="K58" i="9"/>
  <c r="K57" i="9"/>
  <c r="D56" i="13"/>
  <c r="D123" i="13" s="1"/>
  <c r="D58" i="13"/>
  <c r="D57" i="13"/>
  <c r="D59" i="13"/>
  <c r="F67" i="10"/>
  <c r="D67" i="15"/>
  <c r="E67" i="16"/>
  <c r="E58" i="16"/>
  <c r="E57" i="16"/>
  <c r="E59" i="16"/>
  <c r="E68" i="16" s="1"/>
  <c r="F58" i="10"/>
  <c r="F57" i="10"/>
  <c r="F59" i="10"/>
  <c r="F68" i="10" s="1"/>
  <c r="F56" i="10"/>
  <c r="F123" i="10" s="1"/>
  <c r="G57" i="15"/>
  <c r="G58" i="15"/>
  <c r="G56" i="15"/>
  <c r="G123" i="15" s="1"/>
  <c r="G59" i="15"/>
  <c r="G68" i="15" s="1"/>
  <c r="N56" i="8"/>
  <c r="N123" i="8" s="1"/>
  <c r="N57" i="8"/>
  <c r="N59" i="8"/>
  <c r="N68" i="8" s="1"/>
  <c r="N58" i="8"/>
  <c r="H58" i="12"/>
  <c r="H59" i="12"/>
  <c r="H68" i="12" s="1"/>
  <c r="H57" i="12"/>
  <c r="H56" i="12"/>
  <c r="H123" i="12" s="1"/>
  <c r="H67" i="12"/>
  <c r="F57" i="12"/>
  <c r="F59" i="12"/>
  <c r="F68" i="12" s="1"/>
  <c r="F58" i="12"/>
  <c r="F56" i="12"/>
  <c r="F123" i="12" s="1"/>
  <c r="F67" i="12"/>
  <c r="H58" i="10"/>
  <c r="H57" i="10"/>
  <c r="H56" i="10"/>
  <c r="H123" i="10" s="1"/>
  <c r="H59" i="10"/>
  <c r="H68" i="10" s="1"/>
  <c r="H67" i="10"/>
  <c r="C67" i="14"/>
  <c r="C59" i="14"/>
  <c r="C58" i="14"/>
  <c r="C57" i="14"/>
  <c r="C56" i="14"/>
  <c r="C123" i="14" s="1"/>
  <c r="I58" i="9"/>
  <c r="I59" i="9"/>
  <c r="I68" i="9" s="1"/>
  <c r="I57" i="9"/>
  <c r="I56" i="9"/>
  <c r="I123" i="9" s="1"/>
  <c r="I67" i="9"/>
  <c r="L67" i="8"/>
  <c r="L57" i="8"/>
  <c r="L59" i="8"/>
  <c r="L68" i="8" s="1"/>
  <c r="L56" i="8"/>
  <c r="L123" i="8" s="1"/>
  <c r="L58" i="8"/>
  <c r="C56" i="8"/>
  <c r="C57" i="8"/>
  <c r="C58" i="8"/>
  <c r="C59" i="8"/>
  <c r="C67" i="8"/>
  <c r="F67" i="13"/>
  <c r="F56" i="13"/>
  <c r="F123" i="13" s="1"/>
  <c r="F57" i="13"/>
  <c r="F59" i="13"/>
  <c r="F68" i="13" s="1"/>
  <c r="F58" i="13"/>
  <c r="C57" i="15"/>
  <c r="C58" i="15"/>
  <c r="C59" i="15"/>
  <c r="C68" i="15" s="1"/>
  <c r="C56" i="15"/>
  <c r="C123" i="15" s="1"/>
  <c r="C67" i="15"/>
  <c r="E67" i="15"/>
  <c r="E58" i="15"/>
  <c r="E56" i="15"/>
  <c r="E123" i="15" s="1"/>
  <c r="E59" i="15"/>
  <c r="E68" i="15" s="1"/>
  <c r="E57" i="15"/>
  <c r="F67" i="16"/>
  <c r="F57" i="16"/>
  <c r="F56" i="16"/>
  <c r="F123" i="16" s="1"/>
  <c r="F59" i="16"/>
  <c r="F68" i="16" s="1"/>
  <c r="F58" i="16"/>
  <c r="M67" i="8"/>
  <c r="M59" i="8"/>
  <c r="M68" i="8" s="1"/>
  <c r="M56" i="8"/>
  <c r="M123" i="8" s="1"/>
  <c r="M58" i="8"/>
  <c r="M57" i="8"/>
  <c r="F59" i="8"/>
  <c r="F68" i="8" s="1"/>
  <c r="F56" i="8"/>
  <c r="F123" i="8" s="1"/>
  <c r="F58" i="8"/>
  <c r="F57" i="8"/>
  <c r="F67" i="8"/>
  <c r="E67" i="13"/>
  <c r="E58" i="13"/>
  <c r="E57" i="13"/>
  <c r="E56" i="13"/>
  <c r="E123" i="13" s="1"/>
  <c r="E59" i="13"/>
  <c r="E68" i="13" s="1"/>
  <c r="F57" i="9"/>
  <c r="F58" i="9"/>
  <c r="F59" i="9"/>
  <c r="F68" i="9" s="1"/>
  <c r="F56" i="9"/>
  <c r="F123" i="9" s="1"/>
  <c r="F67" i="9"/>
  <c r="E58" i="9"/>
  <c r="E59" i="9"/>
  <c r="E68" i="9" s="1"/>
  <c r="E57" i="9"/>
  <c r="E56" i="9"/>
  <c r="E123" i="9" s="1"/>
  <c r="E67" i="9"/>
  <c r="L67" i="10"/>
  <c r="L58" i="10"/>
  <c r="L57" i="10"/>
  <c r="L59" i="10"/>
  <c r="L68" i="10" s="1"/>
  <c r="L56" i="10"/>
  <c r="D59" i="9"/>
  <c r="D68" i="9" s="1"/>
  <c r="D58" i="9"/>
  <c r="D56" i="9"/>
  <c r="D123" i="9" s="1"/>
  <c r="D57" i="9"/>
  <c r="D67" i="8"/>
  <c r="D59" i="8"/>
  <c r="D68" i="8" s="1"/>
  <c r="D56" i="8"/>
  <c r="D123" i="8" s="1"/>
  <c r="D57" i="8"/>
  <c r="D58" i="8"/>
  <c r="J58" i="10"/>
  <c r="J56" i="10"/>
  <c r="J123" i="10" s="1"/>
  <c r="J57" i="10"/>
  <c r="J59" i="10"/>
  <c r="J68" i="10" s="1"/>
  <c r="J67" i="10"/>
  <c r="G59" i="12"/>
  <c r="G68" i="12" s="1"/>
  <c r="G58" i="12"/>
  <c r="G57" i="12"/>
  <c r="G56" i="12"/>
  <c r="G123" i="12" s="1"/>
  <c r="G67" i="12"/>
  <c r="D59" i="16"/>
  <c r="D68" i="16" s="1"/>
  <c r="D56" i="16"/>
  <c r="D123" i="16" s="1"/>
  <c r="D58" i="16"/>
  <c r="D67" i="16"/>
  <c r="D57" i="16"/>
  <c r="H58" i="9"/>
  <c r="H56" i="9"/>
  <c r="H123" i="9" s="1"/>
  <c r="H57" i="9"/>
  <c r="H59" i="9"/>
  <c r="H68" i="9" s="1"/>
  <c r="I67" i="12"/>
  <c r="I57" i="12"/>
  <c r="I58" i="12"/>
  <c r="I56" i="12"/>
  <c r="I123" i="12" s="1"/>
  <c r="I59" i="12"/>
  <c r="I68" i="12" s="1"/>
  <c r="D67" i="14"/>
  <c r="D58" i="14"/>
  <c r="D57" i="14"/>
  <c r="D59" i="14"/>
  <c r="D68" i="14" s="1"/>
  <c r="D56" i="14"/>
  <c r="E67" i="10"/>
  <c r="E58" i="10"/>
  <c r="E57" i="10"/>
  <c r="E59" i="10"/>
  <c r="E68" i="10" s="1"/>
  <c r="E56" i="10"/>
  <c r="E123" i="10" s="1"/>
  <c r="E58" i="8"/>
  <c r="E59" i="8"/>
  <c r="E68" i="8" s="1"/>
  <c r="E56" i="8"/>
  <c r="E123" i="8" s="1"/>
  <c r="E57" i="8"/>
  <c r="E67" i="8"/>
  <c r="K56" i="10"/>
  <c r="K123" i="10" s="1"/>
  <c r="K59" i="10"/>
  <c r="K68" i="10" s="1"/>
  <c r="K57" i="10"/>
  <c r="K58" i="10"/>
  <c r="K67" i="10"/>
  <c r="G67" i="13"/>
  <c r="G58" i="13"/>
  <c r="G59" i="13"/>
  <c r="G68" i="13" s="1"/>
  <c r="G57" i="13"/>
  <c r="G56" i="13"/>
  <c r="G123" i="13" s="1"/>
  <c r="C67" i="9"/>
  <c r="C57" i="9"/>
  <c r="C56" i="9"/>
  <c r="C123" i="9" s="1"/>
  <c r="C59" i="9"/>
  <c r="C68" i="9" s="1"/>
  <c r="C58" i="9"/>
  <c r="M56" i="10"/>
  <c r="M57" i="10"/>
  <c r="M58" i="10"/>
  <c r="M59" i="10"/>
  <c r="M68" i="10" s="1"/>
  <c r="M67" i="10"/>
  <c r="C59" i="16"/>
  <c r="C58" i="16"/>
  <c r="C57" i="16"/>
  <c r="C56" i="16"/>
  <c r="C123" i="16" s="1"/>
  <c r="C67" i="16"/>
  <c r="D67" i="12"/>
  <c r="D57" i="12"/>
  <c r="D59" i="12"/>
  <c r="D68" i="12" s="1"/>
  <c r="D58" i="12"/>
  <c r="D56" i="12"/>
  <c r="D123" i="12" s="1"/>
  <c r="E57" i="12"/>
  <c r="E59" i="12"/>
  <c r="E56" i="12"/>
  <c r="E123" i="12" s="1"/>
  <c r="E58" i="12"/>
  <c r="E67" i="12"/>
  <c r="C58" i="12"/>
  <c r="C57" i="12"/>
  <c r="C59" i="12"/>
  <c r="C68" i="12" s="1"/>
  <c r="C56" i="12"/>
  <c r="C123" i="12" s="1"/>
  <c r="C59" i="11"/>
  <c r="C68" i="11" s="1"/>
  <c r="C56" i="11"/>
  <c r="C123" i="11" s="1"/>
  <c r="C58" i="11"/>
  <c r="C57" i="11"/>
  <c r="C67" i="11"/>
  <c r="D57" i="10"/>
  <c r="D59" i="10"/>
  <c r="D68" i="10" s="1"/>
  <c r="D56" i="10"/>
  <c r="D123" i="10" s="1"/>
  <c r="D58" i="10"/>
  <c r="D67" i="10"/>
  <c r="H58" i="8"/>
  <c r="H59" i="8"/>
  <c r="H68" i="8" s="1"/>
  <c r="H56" i="8"/>
  <c r="H123" i="8" s="1"/>
  <c r="H57" i="8"/>
  <c r="H67" i="13"/>
  <c r="H57" i="13"/>
  <c r="H56" i="13"/>
  <c r="H123" i="13" s="1"/>
  <c r="H59" i="13"/>
  <c r="H68" i="13" s="1"/>
  <c r="H58" i="13"/>
  <c r="I67" i="10"/>
  <c r="I56" i="10"/>
  <c r="I123" i="10" s="1"/>
  <c r="I57" i="10"/>
  <c r="I58" i="10"/>
  <c r="I59" i="10"/>
  <c r="I68" i="10" s="1"/>
  <c r="O57" i="10"/>
  <c r="O58" i="10"/>
  <c r="O59" i="10"/>
  <c r="O68" i="10" s="1"/>
  <c r="O56" i="10"/>
  <c r="O123" i="10" s="1"/>
  <c r="O67" i="10"/>
  <c r="G58" i="8"/>
  <c r="G56" i="8"/>
  <c r="G123" i="8" s="1"/>
  <c r="G57" i="8"/>
  <c r="G59" i="8"/>
  <c r="G68" i="8" s="1"/>
  <c r="P56" i="10"/>
  <c r="P123" i="10" s="1"/>
  <c r="P57" i="10"/>
  <c r="P59" i="10"/>
  <c r="P68" i="10" s="1"/>
  <c r="P58" i="10"/>
  <c r="P67" i="10"/>
  <c r="J66" i="11"/>
  <c r="J67" i="11"/>
  <c r="J57" i="11"/>
  <c r="J59" i="11"/>
  <c r="J68" i="11" s="1"/>
  <c r="J58" i="11"/>
  <c r="J56" i="11"/>
  <c r="D66" i="11"/>
  <c r="D59" i="11"/>
  <c r="D68" i="11" s="1"/>
  <c r="D56" i="11"/>
  <c r="D123" i="11" s="1"/>
  <c r="D57" i="11"/>
  <c r="D58" i="11"/>
  <c r="D67" i="11"/>
  <c r="M66" i="11"/>
  <c r="M56" i="11"/>
  <c r="M57" i="11"/>
  <c r="M58" i="11"/>
  <c r="M67" i="11"/>
  <c r="M59" i="11"/>
  <c r="M68" i="11" s="1"/>
  <c r="L66" i="11"/>
  <c r="L67" i="11"/>
  <c r="L56" i="11"/>
  <c r="L59" i="11"/>
  <c r="L68" i="11" s="1"/>
  <c r="L57" i="11"/>
  <c r="L58" i="11"/>
  <c r="E66" i="11"/>
  <c r="E56" i="11"/>
  <c r="E123" i="11" s="1"/>
  <c r="E57" i="11"/>
  <c r="E59" i="11"/>
  <c r="E67" i="11"/>
  <c r="E58" i="11"/>
  <c r="N66" i="11"/>
  <c r="N57" i="11"/>
  <c r="N58" i="11"/>
  <c r="N67" i="11"/>
  <c r="N59" i="11"/>
  <c r="N68" i="11" s="1"/>
  <c r="N56" i="11"/>
  <c r="N123" i="11" s="1"/>
  <c r="K66" i="11"/>
  <c r="K67" i="11"/>
  <c r="K56" i="11"/>
  <c r="K123" i="11" s="1"/>
  <c r="K58" i="11"/>
  <c r="K57" i="11"/>
  <c r="K59" i="11"/>
  <c r="K68" i="11" s="1"/>
  <c r="F57" i="11"/>
  <c r="F58" i="11"/>
  <c r="F56" i="11"/>
  <c r="F123" i="11" s="1"/>
  <c r="F67" i="11"/>
  <c r="F59" i="11"/>
  <c r="F68" i="11" s="1"/>
  <c r="H66" i="11"/>
  <c r="H59" i="11"/>
  <c r="H68" i="11" s="1"/>
  <c r="H56" i="11"/>
  <c r="H123" i="11" s="1"/>
  <c r="H57" i="11"/>
  <c r="H67" i="11"/>
  <c r="H58" i="11"/>
  <c r="I66" i="11"/>
  <c r="I67" i="11"/>
  <c r="I59" i="11"/>
  <c r="I68" i="11" s="1"/>
  <c r="I57" i="11"/>
  <c r="I58" i="11"/>
  <c r="I56" i="11"/>
  <c r="I123" i="11" s="1"/>
  <c r="D130" i="16"/>
  <c r="F130" i="16"/>
  <c r="E130" i="16"/>
  <c r="D130" i="15"/>
  <c r="E130" i="15"/>
  <c r="F130" i="15"/>
  <c r="F130" i="13"/>
  <c r="G130" i="13"/>
  <c r="H130" i="13"/>
  <c r="H130" i="12"/>
  <c r="G130" i="12"/>
  <c r="E130" i="12"/>
  <c r="M130" i="11"/>
  <c r="H130" i="11"/>
  <c r="I130" i="11"/>
  <c r="M130" i="10"/>
  <c r="O130" i="10"/>
  <c r="D130" i="10"/>
  <c r="P130" i="10"/>
  <c r="D130" i="9"/>
  <c r="C130" i="14"/>
  <c r="D130" i="14"/>
  <c r="I119" i="12"/>
  <c r="E119" i="12"/>
  <c r="F119" i="12"/>
  <c r="D134" i="12"/>
  <c r="D132" i="12"/>
  <c r="F127" i="8"/>
  <c r="F125" i="8"/>
  <c r="I127" i="8"/>
  <c r="I125" i="8"/>
  <c r="I26" i="1"/>
  <c r="D127" i="8"/>
  <c r="D125" i="8"/>
  <c r="B8" i="1"/>
  <c r="E119" i="9"/>
  <c r="J68" i="9"/>
  <c r="H26" i="1"/>
  <c r="G26" i="1"/>
  <c r="F32" i="15"/>
  <c r="I12" i="1" s="1"/>
  <c r="H119" i="11"/>
  <c r="E120" i="11"/>
  <c r="E121" i="11" s="1"/>
  <c r="E130" i="11"/>
  <c r="D119" i="15"/>
  <c r="E120" i="15"/>
  <c r="E121" i="15" s="1"/>
  <c r="D119" i="13"/>
  <c r="G119" i="12"/>
  <c r="I119" i="11"/>
  <c r="F130" i="10"/>
  <c r="G120" i="9"/>
  <c r="G121" i="9" s="1"/>
  <c r="D119" i="9"/>
  <c r="K120" i="9"/>
  <c r="K121" i="9" s="1"/>
  <c r="M120" i="10"/>
  <c r="M121" i="10" s="1"/>
  <c r="O120" i="10"/>
  <c r="O121" i="10" s="1"/>
  <c r="F119" i="11"/>
  <c r="N119" i="11"/>
  <c r="N120" i="11"/>
  <c r="N121" i="11" s="1"/>
  <c r="C119" i="12"/>
  <c r="D120" i="12"/>
  <c r="D121" i="12" s="1"/>
  <c r="B26" i="1"/>
  <c r="I120" i="8"/>
  <c r="K120" i="8"/>
  <c r="K121" i="8" s="1"/>
  <c r="B15" i="1"/>
  <c r="H119" i="8"/>
  <c r="H134" i="8" s="1"/>
  <c r="I119" i="8"/>
  <c r="I134" i="8" s="1"/>
  <c r="B6" i="1"/>
  <c r="G119" i="8"/>
  <c r="G132" i="8" s="1"/>
  <c r="I32" i="8"/>
  <c r="B12" i="1" s="1"/>
  <c r="D119" i="8"/>
  <c r="C66" i="10"/>
  <c r="K119" i="11"/>
  <c r="E119" i="11"/>
  <c r="H119" i="12"/>
  <c r="C26" i="1"/>
  <c r="H120" i="10"/>
  <c r="H121" i="10" s="1"/>
  <c r="J120" i="11"/>
  <c r="F119" i="13"/>
  <c r="F26" i="1"/>
  <c r="C130" i="9"/>
  <c r="I120" i="11"/>
  <c r="I121" i="11" s="1"/>
  <c r="L66" i="8"/>
  <c r="H120" i="8"/>
  <c r="H121" i="8" s="1"/>
  <c r="L119" i="8"/>
  <c r="L132" i="8" s="1"/>
  <c r="F119" i="8"/>
  <c r="F134" i="8" s="1"/>
  <c r="N119" i="8"/>
  <c r="N132" i="8" s="1"/>
  <c r="H119" i="9"/>
  <c r="F66" i="12"/>
  <c r="K130" i="8"/>
  <c r="L120" i="8"/>
  <c r="L121" i="8" s="1"/>
  <c r="F120" i="12"/>
  <c r="F121" i="12" s="1"/>
  <c r="C119" i="15"/>
  <c r="E120" i="8"/>
  <c r="E121" i="8" s="1"/>
  <c r="M120" i="8"/>
  <c r="M121" i="8" s="1"/>
  <c r="I119" i="9"/>
  <c r="G130" i="8"/>
  <c r="K119" i="8"/>
  <c r="K132" i="8" s="1"/>
  <c r="F119" i="9"/>
  <c r="I120" i="10"/>
  <c r="I121" i="10" s="1"/>
  <c r="J119" i="11"/>
  <c r="F120" i="11"/>
  <c r="F121" i="11" s="1"/>
  <c r="D134" i="14"/>
  <c r="D26" i="1"/>
  <c r="G119" i="15"/>
  <c r="C66" i="8"/>
  <c r="E119" i="8"/>
  <c r="E132" i="8" s="1"/>
  <c r="M119" i="8"/>
  <c r="M132" i="8" s="1"/>
  <c r="D119" i="11"/>
  <c r="L119" i="11"/>
  <c r="F120" i="15"/>
  <c r="F121" i="15" s="1"/>
  <c r="B10" i="1"/>
  <c r="E26" i="1"/>
  <c r="L130" i="8"/>
  <c r="F120" i="13"/>
  <c r="F121" i="13" s="1"/>
  <c r="J26" i="1"/>
  <c r="F120" i="8"/>
  <c r="N130" i="8"/>
  <c r="N120" i="8"/>
  <c r="N121" i="8" s="1"/>
  <c r="E130" i="9"/>
  <c r="J68" i="8"/>
  <c r="H120" i="9"/>
  <c r="H121" i="9" s="1"/>
  <c r="I120" i="9"/>
  <c r="I121" i="9" s="1"/>
  <c r="E120" i="10"/>
  <c r="E121" i="10" s="1"/>
  <c r="G120" i="8"/>
  <c r="G121" i="8" s="1"/>
  <c r="I66" i="10"/>
  <c r="F66" i="11"/>
  <c r="C130" i="8"/>
  <c r="F120" i="10"/>
  <c r="P120" i="10"/>
  <c r="P121" i="10" s="1"/>
  <c r="G66" i="12"/>
  <c r="H130" i="8"/>
  <c r="J130" i="10"/>
  <c r="H120" i="11"/>
  <c r="H121" i="11" s="1"/>
  <c r="C120" i="15"/>
  <c r="C66" i="9"/>
  <c r="G119" i="9"/>
  <c r="C120" i="9"/>
  <c r="N68" i="10"/>
  <c r="L130" i="10"/>
  <c r="J120" i="10"/>
  <c r="I120" i="12"/>
  <c r="I121" i="12" s="1"/>
  <c r="K120" i="11"/>
  <c r="K121" i="11" s="1"/>
  <c r="C119" i="11"/>
  <c r="L120" i="11"/>
  <c r="L121" i="11" s="1"/>
  <c r="C66" i="12"/>
  <c r="J130" i="11"/>
  <c r="D120" i="9"/>
  <c r="D121" i="9" s="1"/>
  <c r="M120" i="11"/>
  <c r="M121" i="11" s="1"/>
  <c r="M119" i="11"/>
  <c r="D66" i="15"/>
  <c r="D123" i="15"/>
  <c r="E120" i="9"/>
  <c r="F120" i="9"/>
  <c r="F121" i="9" s="1"/>
  <c r="C120" i="11"/>
  <c r="C134" i="14"/>
  <c r="C130" i="16"/>
  <c r="E121" i="16"/>
  <c r="E130" i="8"/>
  <c r="M130" i="8"/>
  <c r="G52" i="9"/>
  <c r="C119" i="9"/>
  <c r="K119" i="9"/>
  <c r="C120" i="10"/>
  <c r="N121" i="10"/>
  <c r="G66" i="15"/>
  <c r="K120" i="10"/>
  <c r="K121" i="10" s="1"/>
  <c r="C66" i="11"/>
  <c r="D120" i="13"/>
  <c r="D121" i="13" s="1"/>
  <c r="H119" i="13"/>
  <c r="H120" i="13"/>
  <c r="H121" i="13" s="1"/>
  <c r="L120" i="10"/>
  <c r="E119" i="13"/>
  <c r="G119" i="13"/>
  <c r="G120" i="13"/>
  <c r="G121" i="13" s="1"/>
  <c r="E121" i="12"/>
  <c r="D121" i="14"/>
  <c r="G120" i="15"/>
  <c r="G121" i="15" s="1"/>
  <c r="D120" i="11"/>
  <c r="D121" i="11" s="1"/>
  <c r="H120" i="12"/>
  <c r="H121" i="12" s="1"/>
  <c r="E119" i="15"/>
  <c r="F119" i="15"/>
  <c r="D121" i="16"/>
  <c r="G120" i="12"/>
  <c r="G121" i="12" s="1"/>
  <c r="C130" i="15"/>
  <c r="C120" i="12"/>
  <c r="E66" i="16"/>
  <c r="D120" i="15"/>
  <c r="D121" i="15" s="1"/>
  <c r="F121" i="16"/>
  <c r="I14" i="1" l="1"/>
  <c r="C13" i="1"/>
  <c r="C15" i="1"/>
  <c r="G67" i="9"/>
  <c r="G20" i="1"/>
  <c r="F57" i="15"/>
  <c r="F59" i="15"/>
  <c r="F68" i="15" s="1"/>
  <c r="F58" i="15"/>
  <c r="F56" i="15"/>
  <c r="F123" i="15" s="1"/>
  <c r="I20" i="1" s="1"/>
  <c r="F67" i="15"/>
  <c r="I58" i="8"/>
  <c r="I56" i="8"/>
  <c r="I123" i="8" s="1"/>
  <c r="I59" i="8"/>
  <c r="I68" i="8" s="1"/>
  <c r="I57" i="8"/>
  <c r="I67" i="8"/>
  <c r="J20" i="1"/>
  <c r="G59" i="9"/>
  <c r="G58" i="9"/>
  <c r="G56" i="9"/>
  <c r="G57" i="9"/>
  <c r="F20" i="1"/>
  <c r="C59" i="10"/>
  <c r="C57" i="10"/>
  <c r="C58" i="10"/>
  <c r="C56" i="10"/>
  <c r="C123" i="10" s="1"/>
  <c r="C67" i="10"/>
  <c r="E134" i="16"/>
  <c r="E132" i="16"/>
  <c r="F134" i="16"/>
  <c r="F132" i="16"/>
  <c r="C132" i="16"/>
  <c r="C134" i="16"/>
  <c r="D134" i="16"/>
  <c r="D132" i="16"/>
  <c r="F134" i="15"/>
  <c r="F132" i="15"/>
  <c r="C132" i="15"/>
  <c r="C134" i="15"/>
  <c r="G134" i="15"/>
  <c r="G132" i="15"/>
  <c r="E132" i="15"/>
  <c r="E134" i="15"/>
  <c r="D132" i="15"/>
  <c r="D134" i="15"/>
  <c r="D132" i="14"/>
  <c r="D123" i="14"/>
  <c r="H20" i="1" s="1"/>
  <c r="E130" i="13"/>
  <c r="L134" i="11"/>
  <c r="L132" i="11"/>
  <c r="C134" i="11"/>
  <c r="C132" i="11"/>
  <c r="D132" i="11"/>
  <c r="D134" i="11"/>
  <c r="H132" i="11"/>
  <c r="H134" i="11"/>
  <c r="I134" i="11"/>
  <c r="I132" i="11"/>
  <c r="M132" i="11"/>
  <c r="M134" i="11"/>
  <c r="E132" i="11"/>
  <c r="E134" i="11"/>
  <c r="F132" i="11"/>
  <c r="F134" i="11"/>
  <c r="N132" i="11"/>
  <c r="N134" i="11"/>
  <c r="J134" i="11"/>
  <c r="J132" i="11"/>
  <c r="K134" i="11"/>
  <c r="K132" i="11"/>
  <c r="L123" i="11"/>
  <c r="M123" i="11"/>
  <c r="J123" i="11"/>
  <c r="H134" i="10"/>
  <c r="H132" i="10"/>
  <c r="C134" i="10"/>
  <c r="C132" i="10"/>
  <c r="M134" i="10"/>
  <c r="M132" i="10"/>
  <c r="L134" i="10"/>
  <c r="L132" i="10"/>
  <c r="I132" i="10"/>
  <c r="I134" i="10"/>
  <c r="E132" i="10"/>
  <c r="E134" i="10"/>
  <c r="P132" i="10"/>
  <c r="P134" i="10"/>
  <c r="O132" i="10"/>
  <c r="O134" i="10"/>
  <c r="D134" i="10"/>
  <c r="D132" i="10"/>
  <c r="K132" i="10"/>
  <c r="K134" i="10"/>
  <c r="F134" i="10"/>
  <c r="F132" i="10"/>
  <c r="J134" i="10"/>
  <c r="J132" i="10"/>
  <c r="L123" i="10"/>
  <c r="M123" i="10"/>
  <c r="H132" i="9"/>
  <c r="H134" i="9"/>
  <c r="D132" i="9"/>
  <c r="D134" i="9"/>
  <c r="K132" i="9"/>
  <c r="K134" i="9"/>
  <c r="F132" i="9"/>
  <c r="F134" i="9"/>
  <c r="C132" i="9"/>
  <c r="C134" i="9"/>
  <c r="I132" i="9"/>
  <c r="I134" i="9"/>
  <c r="G132" i="9"/>
  <c r="G134" i="9"/>
  <c r="E132" i="9"/>
  <c r="E134" i="9"/>
  <c r="C132" i="14"/>
  <c r="D132" i="13"/>
  <c r="D134" i="13"/>
  <c r="H132" i="13"/>
  <c r="H134" i="13"/>
  <c r="F132" i="13"/>
  <c r="F134" i="13"/>
  <c r="G134" i="13"/>
  <c r="G132" i="13"/>
  <c r="E132" i="13"/>
  <c r="E134" i="13"/>
  <c r="G134" i="12"/>
  <c r="G132" i="12"/>
  <c r="F132" i="12"/>
  <c r="F134" i="12"/>
  <c r="E132" i="12"/>
  <c r="E134" i="12"/>
  <c r="H132" i="12"/>
  <c r="H134" i="12"/>
  <c r="C132" i="12"/>
  <c r="C134" i="12"/>
  <c r="I132" i="12"/>
  <c r="I134" i="12"/>
  <c r="C123" i="8"/>
  <c r="I121" i="8"/>
  <c r="C121" i="9"/>
  <c r="I7" i="1"/>
  <c r="F68" i="14"/>
  <c r="F19" i="1"/>
  <c r="J7" i="1"/>
  <c r="G18" i="1"/>
  <c r="F121" i="10"/>
  <c r="H16" i="1"/>
  <c r="H18" i="1"/>
  <c r="H19" i="1"/>
  <c r="C68" i="14"/>
  <c r="I130" i="8"/>
  <c r="I132" i="8"/>
  <c r="G134" i="8"/>
  <c r="L134" i="8"/>
  <c r="K134" i="8"/>
  <c r="H132" i="8"/>
  <c r="D132" i="8"/>
  <c r="C68" i="8"/>
  <c r="B14" i="1"/>
  <c r="F16" i="1"/>
  <c r="F7" i="1"/>
  <c r="F9" i="1"/>
  <c r="F11" i="1"/>
  <c r="F132" i="8"/>
  <c r="J19" i="1"/>
  <c r="B11" i="1"/>
  <c r="B9" i="1"/>
  <c r="B7" i="1"/>
  <c r="E19" i="1"/>
  <c r="E9" i="1"/>
  <c r="E7" i="1"/>
  <c r="E11" i="1"/>
  <c r="M134" i="8"/>
  <c r="J18" i="1"/>
  <c r="G19" i="1"/>
  <c r="I9" i="1"/>
  <c r="E18" i="1"/>
  <c r="J9" i="1"/>
  <c r="I11" i="1"/>
  <c r="E120" i="13"/>
  <c r="E121" i="13" s="1"/>
  <c r="G16" i="1"/>
  <c r="E16" i="1"/>
  <c r="F18" i="1"/>
  <c r="J16" i="1"/>
  <c r="E134" i="8"/>
  <c r="N134" i="8"/>
  <c r="J11" i="1"/>
  <c r="G7" i="1"/>
  <c r="G9" i="1"/>
  <c r="G11" i="1"/>
  <c r="H7" i="1"/>
  <c r="H11" i="1"/>
  <c r="H9" i="1"/>
  <c r="D7" i="1"/>
  <c r="D11" i="1"/>
  <c r="D9" i="1"/>
  <c r="D120" i="10"/>
  <c r="D121" i="10" s="1"/>
  <c r="C121" i="14"/>
  <c r="J121" i="11"/>
  <c r="C119" i="8"/>
  <c r="C120" i="8"/>
  <c r="J121" i="10"/>
  <c r="C121" i="10"/>
  <c r="F121" i="8"/>
  <c r="F130" i="8"/>
  <c r="L121" i="10"/>
  <c r="D68" i="15"/>
  <c r="E68" i="11"/>
  <c r="D130" i="8"/>
  <c r="D120" i="8"/>
  <c r="D121" i="8" s="1"/>
  <c r="D134" i="8"/>
  <c r="E121" i="9"/>
  <c r="C122" i="12"/>
  <c r="G66" i="9"/>
  <c r="C121" i="11"/>
  <c r="E68" i="12"/>
  <c r="C121" i="12"/>
  <c r="C121" i="15"/>
  <c r="C68" i="16"/>
  <c r="D68" i="13"/>
  <c r="C121" i="16"/>
  <c r="D20" i="1" l="1"/>
  <c r="E20" i="1"/>
  <c r="I19" i="1"/>
  <c r="I18" i="1"/>
  <c r="I16" i="1"/>
  <c r="G123" i="9"/>
  <c r="C20" i="1" s="1"/>
  <c r="B20" i="1"/>
  <c r="B16" i="1"/>
  <c r="B17" i="1"/>
  <c r="C19" i="1"/>
  <c r="I17" i="1"/>
  <c r="B18" i="1"/>
  <c r="D18" i="1"/>
  <c r="B19" i="1"/>
  <c r="E17" i="1"/>
  <c r="J17" i="1"/>
  <c r="D19" i="1"/>
  <c r="C68" i="10"/>
  <c r="G17" i="1"/>
  <c r="D16" i="1"/>
  <c r="H17" i="1"/>
  <c r="C11" i="1"/>
  <c r="C7" i="1"/>
  <c r="C16" i="1"/>
  <c r="F17" i="1"/>
  <c r="C9" i="1"/>
  <c r="C18" i="1"/>
  <c r="G68" i="9"/>
  <c r="C121" i="8"/>
  <c r="C132" i="8"/>
  <c r="C134" i="8"/>
  <c r="D17" i="1" l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thanh.nguyen</author>
  </authors>
  <commentList>
    <comment ref="C5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joji.kume:</t>
        </r>
        <r>
          <rPr>
            <sz val="9"/>
            <color indexed="81"/>
            <rFont val="Tahoma"/>
            <family val="2"/>
          </rPr>
          <t xml:space="preserve">
Transfers to RTA, pledged revenue &amp; PIC</t>
        </r>
      </text>
    </comment>
  </commentList>
</comments>
</file>

<file path=xl/sharedStrings.xml><?xml version="1.0" encoding="utf-8"?>
<sst xmlns="http://schemas.openxmlformats.org/spreadsheetml/2006/main" count="1287" uniqueCount="232">
  <si>
    <t>Network of California Fairs</t>
  </si>
  <si>
    <t>Class 1</t>
  </si>
  <si>
    <t>Class 2</t>
  </si>
  <si>
    <t>Class 3</t>
  </si>
  <si>
    <t>Class 3+</t>
  </si>
  <si>
    <t>Class 4</t>
  </si>
  <si>
    <t>Class 4+</t>
  </si>
  <si>
    <t>Class 5</t>
  </si>
  <si>
    <t>Class 6</t>
  </si>
  <si>
    <t>Class 7</t>
  </si>
  <si>
    <t>Number of Fairs</t>
  </si>
  <si>
    <t>Average Reserves by Dollars ($)</t>
  </si>
  <si>
    <t>Average Reserves by Percentage (%)</t>
  </si>
  <si>
    <t>Reserves High By Dollars ($)</t>
  </si>
  <si>
    <t>Reserves High By Percentage (%)</t>
  </si>
  <si>
    <t>Reserves Low By Dollars ($)</t>
  </si>
  <si>
    <t>Reserves Low By Percentage (%)</t>
  </si>
  <si>
    <t>Average Operating Revenues ($)</t>
  </si>
  <si>
    <t>Average Operating Expenditures ($)</t>
  </si>
  <si>
    <t>Average Operating Profit/(Loss) BEFORE Depreciation ($)</t>
  </si>
  <si>
    <t>Average Operating Profit/(Loss) AFTER Depreciation ($)</t>
  </si>
  <si>
    <t>Average Net Profit/(Loss) BEFORE Depreciation ($)</t>
  </si>
  <si>
    <t>Average Net Profit/(Loss) AFTER Depreciation ($)</t>
  </si>
  <si>
    <t>Average Number of Permanent Positions *</t>
  </si>
  <si>
    <t>Average Paid Fair Attendance</t>
  </si>
  <si>
    <t>Average Free Fair Attendance</t>
  </si>
  <si>
    <t>Average Total Fair Attendance</t>
  </si>
  <si>
    <t xml:space="preserve">Note:  Reserves refers to Unrestricted Net Resources Available for Operations. </t>
  </si>
  <si>
    <t>*  Not all permanent positions are full-time positions.</t>
  </si>
  <si>
    <t>10-A DAA, Tulelake-Butte Valley Fair</t>
  </si>
  <si>
    <t>33rd DAA,      San Benito County Fair</t>
  </si>
  <si>
    <t>34th DAA, Modoc-Last Frontier Fair</t>
  </si>
  <si>
    <t>48th DAA, Schools Involvement Fair</t>
  </si>
  <si>
    <t>51st DAA,       The Valley Fair</t>
  </si>
  <si>
    <t>52nd DAA, Sacramento County Fair</t>
  </si>
  <si>
    <t>53rd DAA, Desert Empire Fair</t>
  </si>
  <si>
    <t>Chowchilla- Madera County Fair</t>
  </si>
  <si>
    <t>Mendocino County Fair</t>
  </si>
  <si>
    <t>Trinity County Fair</t>
  </si>
  <si>
    <t>Unrestricted - Available for Operations</t>
  </si>
  <si>
    <t>Restricted Resources</t>
  </si>
  <si>
    <t>Investment in Capital Assets</t>
  </si>
  <si>
    <t>Prior Year Audit Adjustment(s)</t>
  </si>
  <si>
    <t>Total Net Resources</t>
  </si>
  <si>
    <t>Resources Acquired:</t>
  </si>
  <si>
    <t>State Allocation</t>
  </si>
  <si>
    <t>Capital Project Reimbursement Funds</t>
  </si>
  <si>
    <t>Other</t>
  </si>
  <si>
    <t>Operating Revenues:</t>
  </si>
  <si>
    <t>Admissions to Grounds</t>
  </si>
  <si>
    <t>Industrial and Commercial Space</t>
  </si>
  <si>
    <t>Carnivals</t>
  </si>
  <si>
    <t>Concessions</t>
  </si>
  <si>
    <t>Exhibits</t>
  </si>
  <si>
    <t>Horse Show</t>
  </si>
  <si>
    <t>Horse Racing (Fairtime Pari-Mutuel)</t>
  </si>
  <si>
    <t>Horse Racing (Satellite Wagering)</t>
  </si>
  <si>
    <t>Fair Attractions</t>
  </si>
  <si>
    <t>Motorized Racing</t>
  </si>
  <si>
    <t>Interim Attractions</t>
  </si>
  <si>
    <t>Miscellaneous Fair</t>
  </si>
  <si>
    <t xml:space="preserve">Miscellaneous Non-Fair </t>
  </si>
  <si>
    <t>Interim Revenue</t>
  </si>
  <si>
    <t>Prior Year Revenue Adjustment</t>
  </si>
  <si>
    <t>Other Operating Revenue</t>
  </si>
  <si>
    <t>Total Operating Revenues</t>
  </si>
  <si>
    <t>Operating Expenditures:</t>
  </si>
  <si>
    <t>Administration</t>
  </si>
  <si>
    <t>Maintenance &amp; General Operations</t>
  </si>
  <si>
    <t>Publicity</t>
  </si>
  <si>
    <t>Attendance Operations</t>
  </si>
  <si>
    <t>Miscellaneous Non-Fair Programs</t>
  </si>
  <si>
    <t xml:space="preserve">Premiums </t>
  </si>
  <si>
    <t>Fair Entertainment Expense</t>
  </si>
  <si>
    <t>Interim Entertainment Expense</t>
  </si>
  <si>
    <t>Equipment Funded by Fair</t>
  </si>
  <si>
    <t>Prior Year Expense Adjustment</t>
  </si>
  <si>
    <t>Cash (Over/Under)</t>
  </si>
  <si>
    <t>Other Operating Expense</t>
  </si>
  <si>
    <t>Total Operating Expenditures</t>
  </si>
  <si>
    <t>Other Addition/(Reduction) in Resources</t>
  </si>
  <si>
    <t>Depreciation Expense</t>
  </si>
  <si>
    <t>Reserve Percentage</t>
  </si>
  <si>
    <t>Check Figure</t>
  </si>
  <si>
    <t>(operating revenues less operating expenditures).</t>
  </si>
  <si>
    <t xml:space="preserve">(operating revenues and resources acquired) and all expenditures </t>
  </si>
  <si>
    <t>(operating expenditures and depreciation expense).</t>
  </si>
  <si>
    <t>Statement of Financial Condition</t>
  </si>
  <si>
    <t>Assets</t>
  </si>
  <si>
    <t>Cash:</t>
  </si>
  <si>
    <t xml:space="preserve">    Restricted Cash</t>
  </si>
  <si>
    <t xml:space="preserve">    Available Cash</t>
  </si>
  <si>
    <t>Accounts Receivable</t>
  </si>
  <si>
    <t>Deferred Charges</t>
  </si>
  <si>
    <t>Other Assets</t>
  </si>
  <si>
    <t>Construction in Progress</t>
  </si>
  <si>
    <t>Land</t>
  </si>
  <si>
    <t>Buildings and Improvements</t>
  </si>
  <si>
    <t>Equipment</t>
  </si>
  <si>
    <t>Leasehold Improvements</t>
  </si>
  <si>
    <t>Less Accumulated Depreciation</t>
  </si>
  <si>
    <t>Adjustment for rounding</t>
  </si>
  <si>
    <t>Total Assets</t>
  </si>
  <si>
    <t>Insurance Fees Payable</t>
  </si>
  <si>
    <t>Accounts Payable</t>
  </si>
  <si>
    <t>Payroll Liabilities</t>
  </si>
  <si>
    <t>Deferred Revenue</t>
  </si>
  <si>
    <t>Other Liabilities</t>
  </si>
  <si>
    <t>Guarantee Deposits</t>
  </si>
  <si>
    <t>Compensated Absences Liability</t>
  </si>
  <si>
    <t>Long Term Debt</t>
  </si>
  <si>
    <t>Net Resources</t>
  </si>
  <si>
    <t>Junior Livestock Auction Reserve</t>
  </si>
  <si>
    <t xml:space="preserve">Investment in Capital Assets </t>
  </si>
  <si>
    <t>Profit margin ratio (operating profit/(loss) BEFORE depreciation)/total operating revenues)</t>
  </si>
  <si>
    <t>This ratio describes a Fair’s ability to earn net profit from operating revenues.</t>
  </si>
  <si>
    <t>Debt ratio (total obligations/total assets)</t>
  </si>
  <si>
    <t>This ratio measures what portion of a Fair's assets are contributed by debt.</t>
  </si>
  <si>
    <t>Equity ratio (total net resources/total assets)</t>
  </si>
  <si>
    <t>This ratio measures what portion of a Fair's assets are contributed by revenues.</t>
  </si>
  <si>
    <t>Debt to equity ratio (total obligations/total net resources)</t>
  </si>
  <si>
    <t>This ratio measures the solvency of Fairs.</t>
  </si>
  <si>
    <t># of Permanent Positions</t>
  </si>
  <si>
    <t>Paid Fair Admissions</t>
  </si>
  <si>
    <t>Free Fair Admissions</t>
  </si>
  <si>
    <t xml:space="preserve">Total Admissions </t>
  </si>
  <si>
    <t>29th DAA, Mother Lode Fair</t>
  </si>
  <si>
    <t>35-A DAA, Mariposa County Fair</t>
  </si>
  <si>
    <t>41st DAA, 
Del Norte County Fair</t>
  </si>
  <si>
    <t xml:space="preserve">42nd DAA, Glenn County Fair </t>
  </si>
  <si>
    <t>44th DAA, Colusa County Fair</t>
  </si>
  <si>
    <t>49th DAA, Lake County Fair</t>
  </si>
  <si>
    <t>Butte County Fair</t>
  </si>
  <si>
    <t>9th DAA, Redwood Acres Fair</t>
  </si>
  <si>
    <t>10th DAA, Siskiyou Golden Fair</t>
  </si>
  <si>
    <t>12th DAA, Redwood Empire Fair</t>
  </si>
  <si>
    <t>13th DAA,   Yuba Sutter Fair</t>
  </si>
  <si>
    <t>20th DAA,    Gold Country Fair</t>
  </si>
  <si>
    <t>24-A DAA,    Kings Fair</t>
  </si>
  <si>
    <t>26th DAA, Amador County Fair</t>
  </si>
  <si>
    <t>30th DAA, Tehama District Fair</t>
  </si>
  <si>
    <t>39th DAA, Calaveras County Fair</t>
  </si>
  <si>
    <t>40th DAA,    Yolo County Fair</t>
  </si>
  <si>
    <t>Merced County Spring Fair</t>
  </si>
  <si>
    <t>Lodi Grape Festival &amp; Harvest Fair</t>
  </si>
  <si>
    <t>Miscellaneous Non-Fair</t>
  </si>
  <si>
    <t>Construction In Progress</t>
  </si>
  <si>
    <t>Check figures</t>
  </si>
  <si>
    <t>3rd DAA,     Silver Dollar Fair</t>
  </si>
  <si>
    <t>4th DAA, Sonoma Marin Fair</t>
  </si>
  <si>
    <t>14th DAA,     Santa Cruz County Fair</t>
  </si>
  <si>
    <t>21-A DAA, Madera District Fair</t>
  </si>
  <si>
    <t>25th DAA,     Napa Town &amp; Country Fair</t>
  </si>
  <si>
    <t>27th DAA, Shasta District Fair</t>
  </si>
  <si>
    <t>36th DAA,    Dixon May Fair</t>
  </si>
  <si>
    <t>45th DAA, California Mid- Winter Fair</t>
  </si>
  <si>
    <t>El Dorado County Fair</t>
  </si>
  <si>
    <t>Humboldt County Fair</t>
  </si>
  <si>
    <t>Salinas Valley Fair</t>
  </si>
  <si>
    <t xml:space="preserve">Adjustment for rounding </t>
  </si>
  <si>
    <t>7th DAA, Monterey County Fair</t>
  </si>
  <si>
    <t>17th DAA, Nevada County Fair</t>
  </si>
  <si>
    <t>19th DAA,     Santa Barbara Fair</t>
  </si>
  <si>
    <t>24th DAA, 
Tulare County Fair</t>
  </si>
  <si>
    <t>28th DAA,       San Bernardino County Fair</t>
  </si>
  <si>
    <t>35th DAA, Merced County Fair</t>
  </si>
  <si>
    <t>37th DAA,     Santa Maria Fair Park</t>
  </si>
  <si>
    <t>2nd DAA,         San Joaquin County Fair</t>
  </si>
  <si>
    <t>38th DAA, Stanislaus County Fair</t>
  </si>
  <si>
    <t>46th DAA, Southern California Fair</t>
  </si>
  <si>
    <t>Santa Clara County Fair</t>
  </si>
  <si>
    <t>Solano County Fair</t>
  </si>
  <si>
    <t xml:space="preserve"> </t>
  </si>
  <si>
    <t>1-A DAA,     Grand National Rodeo &amp; Show</t>
  </si>
  <si>
    <t>15th DAA,        Kern County Fair</t>
  </si>
  <si>
    <t>(May include permanent intermittents)</t>
  </si>
  <si>
    <t xml:space="preserve">16th DAA, California Mid-State Fair          </t>
  </si>
  <si>
    <t>21st DAA, 
The Big Fresno Fair</t>
  </si>
  <si>
    <t>31st DAA, Ventura County Fair</t>
  </si>
  <si>
    <t>National Orange Show</t>
  </si>
  <si>
    <t>Computer Software, Land Use Rights, etc.</t>
  </si>
  <si>
    <t>22nd DAA, 
San Diego County Fair</t>
  </si>
  <si>
    <t>32nd DAA, Orange County Fair</t>
  </si>
  <si>
    <t>Alameda County Fair</t>
  </si>
  <si>
    <t>California Exposition and State Fair 
(Cal Expo)</t>
  </si>
  <si>
    <t xml:space="preserve">Reserve Percentage </t>
  </si>
  <si>
    <t>50th DAA, Antelope Valley Fair*</t>
  </si>
  <si>
    <t>Average Leave Liability</t>
  </si>
  <si>
    <t>Quick Ratio [(current assets - inventories) / current liabilities]</t>
  </si>
  <si>
    <t>The quick ratio measures the Fair's ability to meet its short-term obligations with its most liquid assets. Higher the quick ratio, the better the Fair's liquidity position.</t>
  </si>
  <si>
    <t>Quick Ratio* (with compensated absences liability)</t>
  </si>
  <si>
    <t>This version of the quick ratio is more conservative as compensated absence liability is included as a part of current liabilities.</t>
  </si>
  <si>
    <t>Average Profit Margin Ratio (Operations Only)</t>
  </si>
  <si>
    <t xml:space="preserve">Net Operating Profit/(Loss) </t>
  </si>
  <si>
    <t xml:space="preserve">represents income or loss from operating actvities only </t>
  </si>
  <si>
    <r>
      <rPr>
        <b/>
        <i/>
        <sz val="9"/>
        <rFont val="Arial"/>
        <family val="2"/>
      </rPr>
      <t>Net Profit/(Loss)</t>
    </r>
    <r>
      <rPr>
        <i/>
        <sz val="9"/>
        <rFont val="Arial"/>
        <family val="2"/>
      </rPr>
      <t xml:space="preserve"> includes all sources of revenues</t>
    </r>
  </si>
  <si>
    <t>San Mateo County Fair</t>
  </si>
  <si>
    <t>54th DAA, Colorado River Country Fair</t>
  </si>
  <si>
    <t>Cloverdale Citrus Fair</t>
  </si>
  <si>
    <t>Pension Expense</t>
  </si>
  <si>
    <t>Net Operating Profit/(Loss) BEFORE Depreciation &amp; Pension</t>
  </si>
  <si>
    <t>Net Operating Profit/(Loss) AFTER Depreciation &amp; Pension</t>
  </si>
  <si>
    <t>Net Profit/(Loss) BEFORE Depreciation &amp; Pension</t>
  </si>
  <si>
    <t>Net Profit/(Loss) AFTER Depreciation &amp; Pension</t>
  </si>
  <si>
    <t>Total Assets &amp; Deferred Outflows of Resources</t>
  </si>
  <si>
    <t>Liabilities</t>
  </si>
  <si>
    <t>Total Liabilities &amp; Deferred Inflows of Resources</t>
  </si>
  <si>
    <t>Deferred Outflows of Resources</t>
  </si>
  <si>
    <t>Deferred Inflows of Resources</t>
  </si>
  <si>
    <t>Total Liabilities</t>
  </si>
  <si>
    <t>Net Pension Liability</t>
  </si>
  <si>
    <t>Total Liabilities, Deferred Inflows of Resources, and Net Resources</t>
  </si>
  <si>
    <t>Unrestricted - Net Position Pension</t>
  </si>
  <si>
    <t>23rd DAA, Contra Costa County Fair</t>
  </si>
  <si>
    <t>Inter-Mountain Fair</t>
  </si>
  <si>
    <t>Los Angeles County Fair</t>
  </si>
  <si>
    <t>Marin County Fair</t>
  </si>
  <si>
    <t>Unrestricted Net Position - Pension</t>
  </si>
  <si>
    <t>Beginning Net Resources 1/1/2017</t>
  </si>
  <si>
    <t>Ending Net Resources 12/31/2017</t>
  </si>
  <si>
    <t>2017 STOP Statistical Summary</t>
  </si>
  <si>
    <t>Sonoma County Fair FY 16/17</t>
  </si>
  <si>
    <t>Lassen County Fair FY 16/17</t>
  </si>
  <si>
    <t>Plumas-Sierra County Fair 
FY 16/17</t>
  </si>
  <si>
    <t>Riverside County Fair &amp; National Date Festival
FY 16/17</t>
  </si>
  <si>
    <t>Column1</t>
  </si>
  <si>
    <t>Total Operating Revenues ($)</t>
  </si>
  <si>
    <t>Total Operating Expenditures ($)</t>
  </si>
  <si>
    <t>n/a</t>
  </si>
  <si>
    <t>Napa County Fair</t>
  </si>
  <si>
    <t>Placer County Fair</t>
  </si>
  <si>
    <t xml:space="preserve">18th DAA, Eastern Sierra Tri-County Fair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</si>
</sst>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2" formatCode="_(* #,##0.000_);_(* \(#,##0.000\);_(* &quot;-&quot;??_);_(@_)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0"/>
      <color rgb="FF00B0F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i/>
      <sz val="9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24"/>
      <name val="Arial"/>
      <family val="2"/>
    </font>
    <font>
      <sz val="10"/>
      <name val="Univers (WN)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0" fontId="16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>
      <alignment horizontal="centerContinuous"/>
    </xf>
  </cellStyleXfs>
  <cellXfs count="283">
    <xf numFmtId="0" fontId="0" fillId="0" borderId="0" xfId="0"/>
    <xf numFmtId="0" fontId="1" fillId="0" borderId="0" xfId="3" applyAlignment="1"/>
    <xf numFmtId="0" fontId="3" fillId="0" borderId="0" xfId="3" applyFont="1"/>
    <xf numFmtId="0" fontId="1" fillId="0" borderId="0" xfId="3" applyBorder="1"/>
    <xf numFmtId="0" fontId="1" fillId="0" borderId="0" xfId="3"/>
    <xf numFmtId="0" fontId="1" fillId="0" borderId="0" xfId="3" applyAlignment="1">
      <alignment vertical="center"/>
    </xf>
    <xf numFmtId="0" fontId="1" fillId="0" borderId="0" xfId="3" applyFill="1" applyAlignment="1">
      <alignment vertical="center"/>
    </xf>
    <xf numFmtId="0" fontId="8" fillId="0" borderId="0" xfId="3" applyFont="1"/>
    <xf numFmtId="0" fontId="5" fillId="0" borderId="0" xfId="3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vertical="center"/>
    </xf>
    <xf numFmtId="0" fontId="1" fillId="0" borderId="0" xfId="3" applyFont="1"/>
    <xf numFmtId="0" fontId="10" fillId="0" borderId="8" xfId="3" applyFont="1" applyBorder="1"/>
    <xf numFmtId="6" fontId="1" fillId="4" borderId="4" xfId="3" applyNumberFormat="1" applyFont="1" applyFill="1" applyBorder="1"/>
    <xf numFmtId="6" fontId="1" fillId="0" borderId="4" xfId="3" applyNumberFormat="1" applyFont="1" applyBorder="1"/>
    <xf numFmtId="6" fontId="1" fillId="0" borderId="4" xfId="3" applyNumberFormat="1" applyFont="1" applyFill="1" applyBorder="1"/>
    <xf numFmtId="38" fontId="1" fillId="4" borderId="1" xfId="3" applyNumberFormat="1" applyFont="1" applyFill="1" applyBorder="1"/>
    <xf numFmtId="38" fontId="1" fillId="0" borderId="1" xfId="3" applyNumberFormat="1" applyFont="1" applyFill="1" applyBorder="1"/>
    <xf numFmtId="38" fontId="1" fillId="4" borderId="4" xfId="3" applyNumberFormat="1" applyFont="1" applyFill="1" applyBorder="1"/>
    <xf numFmtId="38" fontId="1" fillId="0" borderId="4" xfId="3" applyNumberFormat="1" applyFont="1" applyFill="1" applyBorder="1"/>
    <xf numFmtId="6" fontId="10" fillId="5" borderId="7" xfId="3" applyNumberFormat="1" applyFont="1" applyFill="1" applyBorder="1"/>
    <xf numFmtId="0" fontId="1" fillId="5" borderId="0" xfId="3" applyFont="1" applyFill="1"/>
    <xf numFmtId="0" fontId="1" fillId="5" borderId="8" xfId="3" applyFont="1" applyFill="1" applyBorder="1"/>
    <xf numFmtId="38" fontId="1" fillId="5" borderId="4" xfId="3" applyNumberFormat="1" applyFont="1" applyFill="1" applyBorder="1"/>
    <xf numFmtId="0" fontId="10" fillId="0" borderId="9" xfId="3" applyFont="1" applyBorder="1"/>
    <xf numFmtId="0" fontId="1" fillId="4" borderId="1" xfId="3" applyFont="1" applyFill="1" applyBorder="1"/>
    <xf numFmtId="0" fontId="1" fillId="0" borderId="1" xfId="3" applyFont="1" applyBorder="1"/>
    <xf numFmtId="0" fontId="1" fillId="0" borderId="1" xfId="3" applyFont="1" applyFill="1" applyBorder="1"/>
    <xf numFmtId="0" fontId="1" fillId="0" borderId="8" xfId="3" applyFont="1" applyBorder="1"/>
    <xf numFmtId="38" fontId="1" fillId="0" borderId="4" xfId="3" applyNumberFormat="1" applyFont="1" applyBorder="1"/>
    <xf numFmtId="38" fontId="1" fillId="0" borderId="1" xfId="3" applyNumberFormat="1" applyFont="1" applyBorder="1"/>
    <xf numFmtId="0" fontId="1" fillId="5" borderId="10" xfId="3" applyFont="1" applyFill="1" applyBorder="1"/>
    <xf numFmtId="38" fontId="1" fillId="5" borderId="11" xfId="3" applyNumberFormat="1" applyFont="1" applyFill="1" applyBorder="1"/>
    <xf numFmtId="38" fontId="1" fillId="5" borderId="11" xfId="3" applyNumberFormat="1" applyFont="1" applyFill="1" applyBorder="1" applyProtection="1"/>
    <xf numFmtId="0" fontId="1" fillId="5" borderId="9" xfId="3" applyFont="1" applyFill="1" applyBorder="1"/>
    <xf numFmtId="6" fontId="10" fillId="4" borderId="4" xfId="3" applyNumberFormat="1" applyFont="1" applyFill="1" applyBorder="1"/>
    <xf numFmtId="6" fontId="10" fillId="0" borderId="4" xfId="3" applyNumberFormat="1" applyFont="1" applyBorder="1"/>
    <xf numFmtId="6" fontId="10" fillId="0" borderId="4" xfId="3" applyNumberFormat="1" applyFont="1" applyFill="1" applyBorder="1"/>
    <xf numFmtId="0" fontId="10" fillId="0" borderId="0" xfId="3" applyFont="1"/>
    <xf numFmtId="0" fontId="10" fillId="5" borderId="9" xfId="3" applyFont="1" applyFill="1" applyBorder="1"/>
    <xf numFmtId="38" fontId="1" fillId="5" borderId="1" xfId="3" applyNumberFormat="1" applyFont="1" applyFill="1" applyBorder="1"/>
    <xf numFmtId="0" fontId="10" fillId="5" borderId="0" xfId="3" applyFont="1" applyFill="1"/>
    <xf numFmtId="0" fontId="1" fillId="6" borderId="0" xfId="3" applyFont="1" applyFill="1"/>
    <xf numFmtId="166" fontId="1" fillId="4" borderId="0" xfId="1" applyNumberFormat="1" applyFont="1" applyFill="1" applyBorder="1"/>
    <xf numFmtId="166" fontId="1" fillId="0" borderId="0" xfId="1" applyNumberFormat="1" applyFont="1" applyFill="1" applyBorder="1"/>
    <xf numFmtId="0" fontId="1" fillId="0" borderId="0" xfId="3" applyFont="1" applyFill="1"/>
    <xf numFmtId="0" fontId="1" fillId="0" borderId="4" xfId="3" applyFont="1" applyFill="1" applyBorder="1" applyAlignment="1">
      <alignment horizontal="right"/>
    </xf>
    <xf numFmtId="0" fontId="1" fillId="0" borderId="0" xfId="3" applyFont="1" applyFill="1" applyBorder="1" applyAlignment="1">
      <alignment horizontal="left" vertical="center" wrapText="1"/>
    </xf>
    <xf numFmtId="0" fontId="1" fillId="0" borderId="0" xfId="3" applyFont="1" applyFill="1" applyBorder="1"/>
    <xf numFmtId="0" fontId="1" fillId="0" borderId="0" xfId="3" applyFont="1" applyFill="1" applyBorder="1" applyAlignment="1">
      <alignment horizontal="left" vertical="center"/>
    </xf>
    <xf numFmtId="0" fontId="1" fillId="4" borderId="4" xfId="3" applyFont="1" applyFill="1" applyBorder="1"/>
    <xf numFmtId="0" fontId="1" fillId="0" borderId="4" xfId="3" applyFont="1" applyBorder="1"/>
    <xf numFmtId="0" fontId="1" fillId="0" borderId="4" xfId="3" applyFont="1" applyFill="1" applyBorder="1"/>
    <xf numFmtId="6" fontId="10" fillId="5" borderId="4" xfId="3" applyNumberFormat="1" applyFont="1" applyFill="1" applyBorder="1"/>
    <xf numFmtId="0" fontId="1" fillId="0" borderId="0" xfId="3" applyFont="1" applyBorder="1"/>
    <xf numFmtId="0" fontId="1" fillId="0" borderId="12" xfId="3" applyFont="1" applyBorder="1"/>
    <xf numFmtId="38" fontId="1" fillId="4" borderId="13" xfId="3" applyNumberFormat="1" applyFont="1" applyFill="1" applyBorder="1"/>
    <xf numFmtId="38" fontId="1" fillId="0" borderId="13" xfId="3" applyNumberFormat="1" applyFont="1" applyBorder="1"/>
    <xf numFmtId="38" fontId="1" fillId="0" borderId="13" xfId="3" applyNumberFormat="1" applyFont="1" applyFill="1" applyBorder="1"/>
    <xf numFmtId="0" fontId="1" fillId="5" borderId="12" xfId="3" applyFont="1" applyFill="1" applyBorder="1"/>
    <xf numFmtId="38" fontId="1" fillId="5" borderId="13" xfId="3" applyNumberFormat="1" applyFont="1" applyFill="1" applyBorder="1"/>
    <xf numFmtId="6" fontId="10" fillId="5" borderId="11" xfId="3" applyNumberFormat="1" applyFont="1" applyFill="1" applyBorder="1"/>
    <xf numFmtId="0" fontId="10" fillId="0" borderId="0" xfId="3" applyFont="1" applyBorder="1"/>
    <xf numFmtId="43" fontId="1" fillId="0" borderId="0" xfId="1" applyFont="1" applyFill="1" applyBorder="1"/>
    <xf numFmtId="166" fontId="1" fillId="0" borderId="4" xfId="1" applyNumberFormat="1" applyFont="1" applyFill="1" applyBorder="1"/>
    <xf numFmtId="0" fontId="1" fillId="0" borderId="0" xfId="3" applyFont="1" applyAlignment="1">
      <alignment horizontal="center"/>
    </xf>
    <xf numFmtId="0" fontId="1" fillId="4" borderId="0" xfId="3" applyFont="1" applyFill="1"/>
    <xf numFmtId="38" fontId="1" fillId="0" borderId="7" xfId="3" applyNumberFormat="1" applyFont="1" applyFill="1" applyBorder="1"/>
    <xf numFmtId="38" fontId="1" fillId="4" borderId="7" xfId="3" applyNumberFormat="1" applyFont="1" applyFill="1" applyBorder="1"/>
    <xf numFmtId="0" fontId="10" fillId="0" borderId="14" xfId="3" applyFont="1" applyBorder="1"/>
    <xf numFmtId="38" fontId="1" fillId="0" borderId="15" xfId="3" applyNumberFormat="1" applyFont="1" applyBorder="1"/>
    <xf numFmtId="38" fontId="1" fillId="4" borderId="15" xfId="3" applyNumberFormat="1" applyFont="1" applyFill="1" applyBorder="1"/>
    <xf numFmtId="38" fontId="1" fillId="0" borderId="15" xfId="3" applyNumberFormat="1" applyFont="1" applyFill="1" applyBorder="1"/>
    <xf numFmtId="0" fontId="1" fillId="2" borderId="0" xfId="3" applyFont="1" applyFill="1"/>
    <xf numFmtId="43" fontId="1" fillId="0" borderId="0" xfId="1" applyFont="1" applyBorder="1"/>
    <xf numFmtId="43" fontId="1" fillId="0" borderId="0" xfId="1" applyFont="1"/>
    <xf numFmtId="0" fontId="1" fillId="0" borderId="0" xfId="3" applyAlignment="1">
      <alignment horizontal="left" vertical="center" wrapText="1"/>
    </xf>
    <xf numFmtId="0" fontId="1" fillId="0" borderId="0" xfId="3" applyAlignment="1">
      <alignment wrapText="1"/>
    </xf>
    <xf numFmtId="0" fontId="1" fillId="0" borderId="4" xfId="3" applyFont="1" applyBorder="1" applyAlignment="1">
      <alignment horizontal="right"/>
    </xf>
    <xf numFmtId="0" fontId="10" fillId="0" borderId="0" xfId="3" applyFont="1" applyBorder="1" applyAlignment="1">
      <alignment horizontal="left" vertical="center"/>
    </xf>
    <xf numFmtId="0" fontId="1" fillId="0" borderId="0" xfId="3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/>
    <xf numFmtId="166" fontId="1" fillId="0" borderId="0" xfId="1" applyNumberFormat="1" applyFont="1"/>
    <xf numFmtId="38" fontId="1" fillId="0" borderId="7" xfId="3" applyNumberFormat="1" applyFont="1" applyBorder="1"/>
    <xf numFmtId="0" fontId="10" fillId="5" borderId="10" xfId="3" applyFont="1" applyFill="1" applyBorder="1"/>
    <xf numFmtId="0" fontId="1" fillId="0" borderId="9" xfId="3" applyFont="1" applyBorder="1"/>
    <xf numFmtId="0" fontId="10" fillId="2" borderId="0" xfId="3" applyFont="1" applyFill="1"/>
    <xf numFmtId="43" fontId="10" fillId="0" borderId="0" xfId="1" applyFont="1" applyBorder="1"/>
    <xf numFmtId="43" fontId="1" fillId="0" borderId="0" xfId="1" applyFont="1" applyFill="1"/>
    <xf numFmtId="0" fontId="11" fillId="0" borderId="0" xfId="3" applyFont="1" applyFill="1" applyBorder="1" applyAlignment="1">
      <alignment horizontal="left" vertical="center"/>
    </xf>
    <xf numFmtId="38" fontId="1" fillId="0" borderId="8" xfId="3" applyNumberFormat="1" applyFont="1" applyBorder="1"/>
    <xf numFmtId="166" fontId="1" fillId="0" borderId="4" xfId="1" applyNumberFormat="1" applyFont="1" applyBorder="1"/>
    <xf numFmtId="0" fontId="1" fillId="0" borderId="8" xfId="3" applyFont="1" applyFill="1" applyBorder="1"/>
    <xf numFmtId="38" fontId="10" fillId="5" borderId="4" xfId="3" applyNumberFormat="1" applyFont="1" applyFill="1" applyBorder="1"/>
    <xf numFmtId="43" fontId="10" fillId="0" borderId="0" xfId="1" applyFont="1" applyFill="1" applyBorder="1"/>
    <xf numFmtId="0" fontId="1" fillId="0" borderId="0" xfId="3" applyFont="1" applyBorder="1" applyAlignment="1">
      <alignment horizontal="center" vertical="top" wrapText="1"/>
    </xf>
    <xf numFmtId="38" fontId="1" fillId="7" borderId="15" xfId="3" applyNumberFormat="1" applyFont="1" applyFill="1" applyBorder="1"/>
    <xf numFmtId="38" fontId="1" fillId="8" borderId="4" xfId="3" applyNumberFormat="1" applyFont="1" applyFill="1" applyBorder="1"/>
    <xf numFmtId="0" fontId="1" fillId="0" borderId="0" xfId="3" applyFont="1" applyFill="1" applyBorder="1" applyAlignment="1">
      <alignment vertical="center"/>
    </xf>
    <xf numFmtId="0" fontId="1" fillId="0" borderId="0" xfId="3" applyAlignment="1">
      <alignment horizontal="left" vertical="center"/>
    </xf>
    <xf numFmtId="0" fontId="1" fillId="0" borderId="0" xfId="3" applyAlignment="1">
      <alignment horizontal="left"/>
    </xf>
    <xf numFmtId="0" fontId="1" fillId="0" borderId="0" xfId="3" applyFont="1" applyAlignment="1">
      <alignment horizontal="left"/>
    </xf>
    <xf numFmtId="0" fontId="10" fillId="0" borderId="0" xfId="3" applyFont="1"/>
    <xf numFmtId="43" fontId="1" fillId="0" borderId="0" xfId="1" applyFont="1" applyBorder="1" applyAlignment="1"/>
    <xf numFmtId="0" fontId="1" fillId="0" borderId="0" xfId="3" applyFont="1" applyAlignment="1"/>
    <xf numFmtId="43" fontId="1" fillId="0" borderId="0" xfId="1" applyFont="1" applyBorder="1" applyAlignment="1">
      <alignment horizontal="left"/>
    </xf>
    <xf numFmtId="0" fontId="1" fillId="0" borderId="0" xfId="3" applyFill="1" applyAlignment="1"/>
    <xf numFmtId="0" fontId="1" fillId="0" borderId="0" xfId="3" applyFont="1" applyFill="1" applyAlignment="1"/>
    <xf numFmtId="0" fontId="1" fillId="0" borderId="0" xfId="3" applyFill="1" applyAlignment="1">
      <alignment horizontal="left" vertical="center"/>
    </xf>
    <xf numFmtId="0" fontId="1" fillId="0" borderId="0" xfId="3" applyFill="1" applyAlignment="1">
      <alignment horizontal="left"/>
    </xf>
    <xf numFmtId="43" fontId="1" fillId="0" borderId="0" xfId="1" applyFont="1" applyFill="1" applyBorder="1" applyAlignment="1"/>
    <xf numFmtId="43" fontId="11" fillId="0" borderId="0" xfId="1" applyFont="1" applyFill="1" applyBorder="1" applyAlignment="1"/>
    <xf numFmtId="166" fontId="1" fillId="0" borderId="0" xfId="1" applyNumberFormat="1" applyFont="1" applyFill="1" applyBorder="1" applyAlignment="1">
      <alignment horizontal="left"/>
    </xf>
    <xf numFmtId="0" fontId="1" fillId="4" borderId="9" xfId="3" applyFont="1" applyFill="1" applyBorder="1" applyAlignment="1"/>
    <xf numFmtId="0" fontId="10" fillId="3" borderId="0" xfId="3" applyFont="1" applyFill="1"/>
    <xf numFmtId="0" fontId="1" fillId="3" borderId="0" xfId="3" applyFont="1" applyFill="1"/>
    <xf numFmtId="0" fontId="18" fillId="3" borderId="16" xfId="0" applyFont="1" applyFill="1" applyBorder="1"/>
    <xf numFmtId="0" fontId="19" fillId="3" borderId="3" xfId="0" applyFont="1" applyFill="1" applyBorder="1" applyAlignment="1">
      <alignment wrapText="1"/>
    </xf>
    <xf numFmtId="9" fontId="1" fillId="3" borderId="3" xfId="2" applyFont="1" applyFill="1" applyBorder="1"/>
    <xf numFmtId="9" fontId="1" fillId="3" borderId="8" xfId="2" applyFont="1" applyFill="1" applyBorder="1"/>
    <xf numFmtId="0" fontId="10" fillId="3" borderId="16" xfId="3" applyFont="1" applyFill="1" applyBorder="1"/>
    <xf numFmtId="0" fontId="1" fillId="3" borderId="3" xfId="3" applyFont="1" applyFill="1" applyBorder="1"/>
    <xf numFmtId="43" fontId="1" fillId="3" borderId="3" xfId="1" applyFont="1" applyFill="1" applyBorder="1"/>
    <xf numFmtId="166" fontId="1" fillId="3" borderId="3" xfId="1" applyNumberFormat="1" applyFont="1" applyFill="1" applyBorder="1"/>
    <xf numFmtId="43" fontId="1" fillId="3" borderId="8" xfId="1" applyFont="1" applyFill="1" applyBorder="1"/>
    <xf numFmtId="166" fontId="1" fillId="0" borderId="7" xfId="1" applyNumberFormat="1" applyFont="1" applyFill="1" applyBorder="1"/>
    <xf numFmtId="0" fontId="1" fillId="3" borderId="16" xfId="3" applyFont="1" applyFill="1" applyBorder="1"/>
    <xf numFmtId="0" fontId="1" fillId="3" borderId="8" xfId="3" applyFont="1" applyFill="1" applyBorder="1"/>
    <xf numFmtId="3" fontId="1" fillId="0" borderId="4" xfId="3" applyNumberFormat="1" applyFont="1" applyFill="1" applyBorder="1"/>
    <xf numFmtId="3" fontId="1" fillId="3" borderId="3" xfId="3" applyNumberFormat="1" applyFont="1" applyFill="1" applyBorder="1" applyAlignment="1">
      <alignment horizontal="right"/>
    </xf>
    <xf numFmtId="0" fontId="1" fillId="3" borderId="3" xfId="3" applyFont="1" applyFill="1" applyBorder="1" applyAlignment="1">
      <alignment horizontal="right"/>
    </xf>
    <xf numFmtId="0" fontId="1" fillId="3" borderId="8" xfId="3" applyFont="1" applyFill="1" applyBorder="1" applyAlignment="1">
      <alignment horizontal="right"/>
    </xf>
    <xf numFmtId="166" fontId="1" fillId="3" borderId="8" xfId="1" applyNumberFormat="1" applyFont="1" applyFill="1" applyBorder="1"/>
    <xf numFmtId="3" fontId="1" fillId="0" borderId="4" xfId="3" applyNumberFormat="1" applyFont="1" applyBorder="1"/>
    <xf numFmtId="0" fontId="9" fillId="0" borderId="0" xfId="3" applyFont="1" applyFill="1" applyBorder="1" applyAlignment="1">
      <alignment horizontal="left" vertical="center"/>
    </xf>
    <xf numFmtId="0" fontId="9" fillId="0" borderId="0" xfId="3" applyFont="1" applyFill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17" fillId="0" borderId="0" xfId="3" applyFont="1" applyFill="1" applyBorder="1" applyAlignment="1">
      <alignment horizontal="left" vertical="center"/>
    </xf>
    <xf numFmtId="0" fontId="17" fillId="0" borderId="0" xfId="3" applyFont="1" applyFill="1" applyBorder="1" applyAlignment="1">
      <alignment vertical="center"/>
    </xf>
    <xf numFmtId="0" fontId="24" fillId="0" borderId="0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/>
    </xf>
    <xf numFmtId="0" fontId="11" fillId="0" borderId="0" xfId="3" applyFont="1" applyFill="1" applyAlignment="1">
      <alignment wrapText="1"/>
    </xf>
    <xf numFmtId="38" fontId="1" fillId="0" borderId="16" xfId="3" applyNumberFormat="1" applyFont="1" applyFill="1" applyBorder="1"/>
    <xf numFmtId="0" fontId="10" fillId="0" borderId="5" xfId="3" applyFont="1" applyBorder="1"/>
    <xf numFmtId="0" fontId="1" fillId="0" borderId="5" xfId="3" applyFont="1" applyFill="1" applyBorder="1"/>
    <xf numFmtId="43" fontId="1" fillId="0" borderId="18" xfId="1" applyFont="1" applyFill="1" applyBorder="1"/>
    <xf numFmtId="0" fontId="1" fillId="0" borderId="0" xfId="3" applyFill="1" applyBorder="1" applyAlignment="1">
      <alignment horizontal="left" vertical="center"/>
    </xf>
    <xf numFmtId="0" fontId="1" fillId="0" borderId="0" xfId="3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1" fillId="0" borderId="15" xfId="3" applyFont="1" applyBorder="1"/>
    <xf numFmtId="0" fontId="1" fillId="4" borderId="15" xfId="3" applyFont="1" applyFill="1" applyBorder="1"/>
    <xf numFmtId="3" fontId="1" fillId="0" borderId="0" xfId="3" applyNumberFormat="1" applyFont="1" applyFill="1" applyBorder="1" applyAlignment="1">
      <alignment horizontal="right"/>
    </xf>
    <xf numFmtId="0" fontId="1" fillId="0" borderId="0" xfId="3" applyFont="1" applyFill="1" applyBorder="1" applyAlignment="1"/>
    <xf numFmtId="0" fontId="10" fillId="0" borderId="0" xfId="3" applyFont="1" applyFill="1" applyBorder="1"/>
    <xf numFmtId="38" fontId="1" fillId="5" borderId="16" xfId="3" applyNumberFormat="1" applyFont="1" applyFill="1" applyBorder="1"/>
    <xf numFmtId="0" fontId="1" fillId="6" borderId="8" xfId="3" applyFont="1" applyFill="1" applyBorder="1"/>
    <xf numFmtId="6" fontId="10" fillId="6" borderId="4" xfId="3" applyNumberFormat="1" applyFont="1" applyFill="1" applyBorder="1"/>
    <xf numFmtId="43" fontId="11" fillId="0" borderId="0" xfId="1" applyFont="1" applyFill="1" applyBorder="1"/>
    <xf numFmtId="0" fontId="10" fillId="6" borderId="0" xfId="3" applyFont="1" applyFill="1"/>
    <xf numFmtId="0" fontId="11" fillId="0" borderId="0" xfId="3" applyFont="1" applyFill="1" applyBorder="1" applyAlignment="1">
      <alignment horizontal="left"/>
    </xf>
    <xf numFmtId="0" fontId="1" fillId="0" borderId="0" xfId="3" applyFont="1" applyBorder="1" applyAlignment="1">
      <alignment horizontal="left"/>
    </xf>
    <xf numFmtId="0" fontId="1" fillId="0" borderId="0" xfId="3" applyBorder="1" applyAlignment="1">
      <alignment horizontal="left" vertical="center"/>
    </xf>
    <xf numFmtId="0" fontId="1" fillId="0" borderId="0" xfId="3" applyBorder="1" applyAlignment="1">
      <alignment horizontal="left"/>
    </xf>
    <xf numFmtId="0" fontId="10" fillId="0" borderId="9" xfId="3" applyFont="1" applyFill="1" applyBorder="1"/>
    <xf numFmtId="0" fontId="10" fillId="0" borderId="0" xfId="3" applyFont="1" applyFill="1"/>
    <xf numFmtId="0" fontId="1" fillId="0" borderId="0" xfId="3" applyFont="1" applyFill="1" applyBorder="1" applyAlignment="1">
      <alignment horizontal="right"/>
    </xf>
    <xf numFmtId="6" fontId="10" fillId="0" borderId="0" xfId="1" applyNumberFormat="1" applyFont="1" applyBorder="1"/>
    <xf numFmtId="165" fontId="1" fillId="0" borderId="0" xfId="1" applyNumberFormat="1" applyFont="1" applyBorder="1"/>
    <xf numFmtId="43" fontId="10" fillId="0" borderId="0" xfId="1" applyNumberFormat="1" applyFont="1" applyBorder="1"/>
    <xf numFmtId="6" fontId="1" fillId="0" borderId="1" xfId="3" applyNumberFormat="1" applyFont="1" applyBorder="1"/>
    <xf numFmtId="172" fontId="1" fillId="0" borderId="0" xfId="1" applyNumberFormat="1" applyFont="1" applyBorder="1"/>
    <xf numFmtId="0" fontId="20" fillId="9" borderId="19" xfId="3" applyFont="1" applyFill="1" applyBorder="1" applyAlignment="1">
      <alignment vertical="center"/>
    </xf>
    <xf numFmtId="0" fontId="21" fillId="9" borderId="19" xfId="3" applyFont="1" applyFill="1" applyBorder="1" applyAlignment="1">
      <alignment horizontal="center" vertical="center"/>
    </xf>
    <xf numFmtId="0" fontId="5" fillId="0" borderId="0" xfId="3" applyFont="1" applyFill="1" applyBorder="1" applyAlignment="1">
      <alignment vertical="center"/>
    </xf>
    <xf numFmtId="6" fontId="4" fillId="0" borderId="0" xfId="4" applyNumberFormat="1" applyFont="1" applyBorder="1" applyAlignment="1">
      <alignment vertical="center"/>
    </xf>
    <xf numFmtId="164" fontId="7" fillId="0" borderId="0" xfId="3" applyNumberFormat="1" applyFont="1" applyBorder="1" applyAlignment="1">
      <alignment vertical="center"/>
    </xf>
    <xf numFmtId="164" fontId="4" fillId="0" borderId="0" xfId="3" applyNumberFormat="1" applyFont="1" applyBorder="1" applyAlignment="1">
      <alignment vertical="center"/>
    </xf>
    <xf numFmtId="164" fontId="6" fillId="0" borderId="0" xfId="3" applyNumberFormat="1" applyFont="1" applyBorder="1" applyAlignment="1">
      <alignment vertical="center"/>
    </xf>
    <xf numFmtId="5" fontId="4" fillId="0" borderId="0" xfId="4" applyNumberFormat="1" applyFont="1" applyBorder="1" applyAlignment="1">
      <alignment vertical="center"/>
    </xf>
    <xf numFmtId="5" fontId="7" fillId="0" borderId="0" xfId="4" applyNumberFormat="1" applyFont="1" applyBorder="1" applyAlignment="1">
      <alignment vertical="center"/>
    </xf>
    <xf numFmtId="6" fontId="4" fillId="0" borderId="0" xfId="3" applyNumberFormat="1" applyFont="1" applyBorder="1" applyAlignment="1">
      <alignment vertical="center"/>
    </xf>
    <xf numFmtId="6" fontId="4" fillId="0" borderId="0" xfId="3" applyNumberFormat="1" applyFont="1" applyFill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0" fontId="5" fillId="0" borderId="20" xfId="3" applyFont="1" applyFill="1" applyBorder="1" applyAlignment="1">
      <alignment horizontal="left" vertical="center"/>
    </xf>
    <xf numFmtId="0" fontId="4" fillId="0" borderId="20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vertical="center" wrapText="1"/>
    </xf>
    <xf numFmtId="165" fontId="4" fillId="0" borderId="20" xfId="1" applyNumberFormat="1" applyFont="1" applyBorder="1" applyAlignment="1">
      <alignment vertical="center"/>
    </xf>
    <xf numFmtId="9" fontId="7" fillId="0" borderId="0" xfId="3" applyNumberFormat="1" applyFont="1" applyFill="1" applyBorder="1" applyAlignment="1">
      <alignment vertical="center"/>
    </xf>
    <xf numFmtId="9" fontId="4" fillId="0" borderId="0" xfId="3" applyNumberFormat="1" applyFont="1" applyFill="1" applyBorder="1" applyAlignment="1">
      <alignment vertical="center"/>
    </xf>
    <xf numFmtId="0" fontId="5" fillId="0" borderId="20" xfId="3" applyFont="1" applyFill="1" applyBorder="1" applyAlignment="1">
      <alignment vertical="center"/>
    </xf>
    <xf numFmtId="164" fontId="6" fillId="0" borderId="20" xfId="3" applyNumberFormat="1" applyFont="1" applyBorder="1" applyAlignment="1">
      <alignment vertical="center"/>
    </xf>
    <xf numFmtId="164" fontId="4" fillId="0" borderId="20" xfId="3" applyNumberFormat="1" applyFont="1" applyBorder="1" applyAlignment="1">
      <alignment vertical="center"/>
    </xf>
    <xf numFmtId="0" fontId="10" fillId="5" borderId="2" xfId="3" applyFont="1" applyFill="1" applyBorder="1"/>
    <xf numFmtId="0" fontId="17" fillId="5" borderId="9" xfId="3" applyFont="1" applyFill="1" applyBorder="1" applyAlignment="1">
      <alignment wrapText="1"/>
    </xf>
    <xf numFmtId="0" fontId="12" fillId="5" borderId="17" xfId="0" applyFont="1" applyFill="1" applyBorder="1"/>
    <xf numFmtId="0" fontId="18" fillId="5" borderId="12" xfId="0" applyFont="1" applyFill="1" applyBorder="1"/>
    <xf numFmtId="0" fontId="18" fillId="5" borderId="2" xfId="0" applyFont="1" applyFill="1" applyBorder="1"/>
    <xf numFmtId="0" fontId="19" fillId="5" borderId="9" xfId="0" applyFont="1" applyFill="1" applyBorder="1" applyAlignment="1">
      <alignment wrapText="1"/>
    </xf>
    <xf numFmtId="0" fontId="9" fillId="5" borderId="9" xfId="3" applyFont="1" applyFill="1" applyBorder="1" applyAlignment="1">
      <alignment wrapText="1"/>
    </xf>
    <xf numFmtId="0" fontId="10" fillId="5" borderId="17" xfId="3" applyFont="1" applyFill="1" applyBorder="1"/>
    <xf numFmtId="0" fontId="1" fillId="5" borderId="12" xfId="3" applyFont="1" applyFill="1" applyBorder="1" applyAlignment="1">
      <alignment wrapText="1"/>
    </xf>
    <xf numFmtId="0" fontId="10" fillId="5" borderId="16" xfId="3" applyFont="1" applyFill="1" applyBorder="1"/>
    <xf numFmtId="0" fontId="1" fillId="5" borderId="4" xfId="3" applyFont="1" applyFill="1" applyBorder="1"/>
    <xf numFmtId="0" fontId="1" fillId="5" borderId="1" xfId="3" applyFont="1" applyFill="1" applyBorder="1"/>
    <xf numFmtId="6" fontId="4" fillId="0" borderId="20" xfId="3" applyNumberFormat="1" applyFont="1" applyFill="1" applyBorder="1" applyAlignment="1">
      <alignment vertical="center"/>
    </xf>
    <xf numFmtId="6" fontId="4" fillId="0" borderId="21" xfId="3" applyNumberFormat="1" applyFont="1" applyBorder="1" applyAlignment="1">
      <alignment vertical="center"/>
    </xf>
    <xf numFmtId="3" fontId="1" fillId="0" borderId="4" xfId="3" applyNumberFormat="1" applyFont="1" applyFill="1" applyBorder="1" applyAlignment="1">
      <alignment horizontal="right"/>
    </xf>
    <xf numFmtId="0" fontId="23" fillId="9" borderId="1" xfId="3" applyFont="1" applyFill="1" applyBorder="1" applyAlignment="1">
      <alignment horizontal="center" vertical="top" wrapText="1"/>
    </xf>
    <xf numFmtId="164" fontId="23" fillId="9" borderId="13" xfId="3" applyNumberFormat="1" applyFont="1" applyFill="1" applyBorder="1"/>
    <xf numFmtId="164" fontId="12" fillId="9" borderId="13" xfId="3" applyNumberFormat="1" applyFont="1" applyFill="1" applyBorder="1"/>
    <xf numFmtId="164" fontId="23" fillId="9" borderId="17" xfId="3" applyNumberFormat="1" applyFont="1" applyFill="1" applyBorder="1"/>
    <xf numFmtId="0" fontId="22" fillId="9" borderId="13" xfId="3" applyFont="1" applyFill="1" applyBorder="1" applyAlignment="1">
      <alignment horizontal="center" vertical="top" wrapText="1"/>
    </xf>
    <xf numFmtId="0" fontId="1" fillId="9" borderId="13" xfId="3" applyFont="1" applyFill="1" applyBorder="1" applyAlignment="1">
      <alignment horizontal="center" vertical="top" wrapText="1"/>
    </xf>
    <xf numFmtId="0" fontId="10" fillId="0" borderId="16" xfId="3" applyFont="1" applyBorder="1"/>
    <xf numFmtId="0" fontId="10" fillId="5" borderId="24" xfId="3" applyFont="1" applyFill="1" applyBorder="1"/>
    <xf numFmtId="0" fontId="1" fillId="5" borderId="16" xfId="3" applyFont="1" applyFill="1" applyBorder="1"/>
    <xf numFmtId="0" fontId="1" fillId="5" borderId="24" xfId="3" applyFont="1" applyFill="1" applyBorder="1"/>
    <xf numFmtId="0" fontId="10" fillId="0" borderId="2" xfId="3" applyFont="1" applyBorder="1"/>
    <xf numFmtId="0" fontId="1" fillId="0" borderId="16" xfId="3" applyFont="1" applyBorder="1"/>
    <xf numFmtId="0" fontId="1" fillId="5" borderId="2" xfId="3" applyFont="1" applyFill="1" applyBorder="1"/>
    <xf numFmtId="0" fontId="10" fillId="0" borderId="2" xfId="3" applyFont="1" applyFill="1" applyBorder="1"/>
    <xf numFmtId="0" fontId="10" fillId="6" borderId="4" xfId="3" applyFont="1" applyFill="1" applyBorder="1"/>
    <xf numFmtId="164" fontId="10" fillId="6" borderId="4" xfId="3" applyNumberFormat="1" applyFont="1" applyFill="1" applyBorder="1"/>
    <xf numFmtId="0" fontId="10" fillId="6" borderId="16" xfId="3" applyFont="1" applyFill="1" applyBorder="1"/>
    <xf numFmtId="0" fontId="1" fillId="0" borderId="17" xfId="3" applyFont="1" applyBorder="1"/>
    <xf numFmtId="0" fontId="10" fillId="0" borderId="25" xfId="3" applyFont="1" applyBorder="1"/>
    <xf numFmtId="0" fontId="1" fillId="0" borderId="15" xfId="3" applyFont="1" applyFill="1" applyBorder="1"/>
    <xf numFmtId="0" fontId="10" fillId="6" borderId="1" xfId="3" applyFont="1" applyFill="1" applyBorder="1"/>
    <xf numFmtId="164" fontId="10" fillId="6" borderId="4" xfId="3" applyNumberFormat="1" applyFont="1" applyFill="1" applyBorder="1" applyAlignment="1">
      <alignment horizontal="center"/>
    </xf>
    <xf numFmtId="0" fontId="13" fillId="9" borderId="13" xfId="3" applyFont="1" applyFill="1" applyBorder="1" applyAlignment="1">
      <alignment horizontal="center" vertical="top" wrapText="1"/>
    </xf>
    <xf numFmtId="164" fontId="10" fillId="6" borderId="1" xfId="3" applyNumberFormat="1" applyFont="1" applyFill="1" applyBorder="1"/>
    <xf numFmtId="164" fontId="10" fillId="6" borderId="1" xfId="5" applyNumberFormat="1" applyFont="1" applyFill="1" applyBorder="1"/>
    <xf numFmtId="164" fontId="10" fillId="6" borderId="4" xfId="5" applyNumberFormat="1" applyFont="1" applyFill="1" applyBorder="1"/>
    <xf numFmtId="38" fontId="1" fillId="6" borderId="4" xfId="3" applyNumberFormat="1" applyFont="1" applyFill="1" applyBorder="1"/>
    <xf numFmtId="0" fontId="1" fillId="4" borderId="17" xfId="3" applyFont="1" applyFill="1" applyBorder="1" applyAlignment="1"/>
    <xf numFmtId="0" fontId="1" fillId="4" borderId="12" xfId="3" applyFont="1" applyFill="1" applyBorder="1" applyAlignment="1"/>
    <xf numFmtId="0" fontId="1" fillId="4" borderId="2" xfId="3" applyFont="1" applyFill="1" applyBorder="1" applyAlignment="1"/>
    <xf numFmtId="3" fontId="1" fillId="0" borderId="26" xfId="9" applyNumberFormat="1" applyFont="1" applyFill="1" applyBorder="1" applyAlignment="1" applyProtection="1">
      <protection locked="0"/>
    </xf>
    <xf numFmtId="38" fontId="1" fillId="0" borderId="8" xfId="3" applyNumberFormat="1" applyFont="1" applyFill="1" applyBorder="1"/>
    <xf numFmtId="6" fontId="1" fillId="0" borderId="1" xfId="3" applyNumberFormat="1" applyFont="1" applyFill="1" applyBorder="1"/>
    <xf numFmtId="166" fontId="1" fillId="0" borderId="22" xfId="1" applyNumberFormat="1" applyFont="1" applyFill="1" applyBorder="1"/>
    <xf numFmtId="166" fontId="1" fillId="0" borderId="0" xfId="1" applyNumberFormat="1" applyFont="1" applyBorder="1"/>
    <xf numFmtId="38" fontId="1" fillId="0" borderId="1" xfId="1" applyNumberFormat="1" applyFont="1" applyFill="1" applyBorder="1"/>
    <xf numFmtId="38" fontId="1" fillId="0" borderId="7" xfId="1" applyNumberFormat="1" applyFont="1" applyFill="1" applyBorder="1"/>
    <xf numFmtId="6" fontId="1" fillId="4" borderId="1" xfId="3" applyNumberFormat="1" applyFont="1" applyFill="1" applyBorder="1"/>
    <xf numFmtId="6" fontId="1" fillId="0" borderId="1" xfId="1" applyNumberFormat="1" applyFont="1" applyFill="1" applyBorder="1"/>
    <xf numFmtId="0" fontId="23" fillId="9" borderId="1" xfId="3" applyFont="1" applyFill="1" applyBorder="1" applyAlignment="1">
      <alignment horizontal="center" vertical="top" wrapText="1"/>
    </xf>
    <xf numFmtId="0" fontId="23" fillId="9" borderId="1" xfId="3" applyFont="1" applyFill="1" applyBorder="1" applyAlignment="1">
      <alignment horizontal="center" vertical="top" wrapText="1"/>
    </xf>
    <xf numFmtId="0" fontId="23" fillId="9" borderId="1" xfId="3" applyFont="1" applyFill="1" applyBorder="1" applyAlignment="1">
      <alignment horizontal="center" vertical="top" wrapText="1"/>
    </xf>
    <xf numFmtId="0" fontId="1" fillId="0" borderId="22" xfId="3" applyFont="1" applyBorder="1"/>
    <xf numFmtId="0" fontId="1" fillId="0" borderId="22" xfId="3" applyBorder="1"/>
    <xf numFmtId="0" fontId="26" fillId="0" borderId="0" xfId="3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2" fontId="1" fillId="0" borderId="13" xfId="2" applyNumberFormat="1" applyFont="1" applyFill="1" applyBorder="1" applyAlignment="1">
      <alignment horizontal="center" vertical="center"/>
    </xf>
    <xf numFmtId="2" fontId="1" fillId="0" borderId="1" xfId="2" applyNumberFormat="1" applyFont="1" applyFill="1" applyBorder="1" applyAlignment="1">
      <alignment horizontal="center" vertical="center"/>
    </xf>
    <xf numFmtId="43" fontId="1" fillId="0" borderId="4" xfId="1" applyFont="1" applyFill="1" applyBorder="1" applyAlignment="1">
      <alignment horizontal="center" vertical="center"/>
    </xf>
    <xf numFmtId="9" fontId="10" fillId="0" borderId="4" xfId="2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 wrapText="1"/>
    </xf>
    <xf numFmtId="0" fontId="10" fillId="0" borderId="17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0" fontId="10" fillId="5" borderId="17" xfId="3" applyFont="1" applyFill="1" applyBorder="1" applyAlignment="1">
      <alignment horizontal="left" wrapText="1"/>
    </xf>
    <xf numFmtId="0" fontId="10" fillId="5" borderId="12" xfId="3" applyFont="1" applyFill="1" applyBorder="1" applyAlignment="1">
      <alignment horizontal="left" wrapText="1"/>
    </xf>
    <xf numFmtId="0" fontId="10" fillId="5" borderId="17" xfId="3" applyFont="1" applyFill="1" applyBorder="1"/>
    <xf numFmtId="0" fontId="10" fillId="5" borderId="12" xfId="3" applyFont="1" applyFill="1" applyBorder="1"/>
    <xf numFmtId="0" fontId="9" fillId="0" borderId="17" xfId="3" applyFont="1" applyBorder="1" applyAlignment="1">
      <alignment vertical="top" wrapText="1"/>
    </xf>
    <xf numFmtId="0" fontId="1" fillId="0" borderId="12" xfId="3" applyFont="1" applyBorder="1" applyAlignment="1">
      <alignment vertical="top" wrapText="1"/>
    </xf>
    <xf numFmtId="0" fontId="1" fillId="0" borderId="23" xfId="3" applyFont="1" applyBorder="1" applyAlignment="1">
      <alignment vertical="top" wrapText="1"/>
    </xf>
    <xf numFmtId="0" fontId="1" fillId="0" borderId="6" xfId="3" applyFont="1" applyBorder="1" applyAlignment="1">
      <alignment vertical="top" wrapText="1"/>
    </xf>
    <xf numFmtId="0" fontId="1" fillId="0" borderId="2" xfId="3" applyFont="1" applyBorder="1" applyAlignment="1">
      <alignment vertical="top" wrapText="1"/>
    </xf>
    <xf numFmtId="0" fontId="1" fillId="0" borderId="9" xfId="3" applyFont="1" applyBorder="1" applyAlignment="1">
      <alignment vertical="top" wrapText="1"/>
    </xf>
    <xf numFmtId="0" fontId="23" fillId="9" borderId="7" xfId="3" applyFont="1" applyFill="1" applyBorder="1" applyAlignment="1">
      <alignment horizontal="center" vertical="top" wrapText="1"/>
    </xf>
    <xf numFmtId="0" fontId="23" fillId="9" borderId="1" xfId="3" applyFont="1" applyFill="1" applyBorder="1" applyAlignment="1">
      <alignment horizontal="center" vertical="top" wrapText="1"/>
    </xf>
    <xf numFmtId="0" fontId="1" fillId="0" borderId="17" xfId="3" applyFont="1" applyBorder="1" applyAlignment="1"/>
    <xf numFmtId="0" fontId="1" fillId="0" borderId="12" xfId="3" applyFont="1" applyBorder="1" applyAlignment="1"/>
    <xf numFmtId="0" fontId="1" fillId="0" borderId="2" xfId="3" applyFont="1" applyBorder="1" applyAlignment="1"/>
    <xf numFmtId="0" fontId="1" fillId="0" borderId="9" xfId="3" applyFont="1" applyBorder="1" applyAlignment="1"/>
    <xf numFmtId="9" fontId="10" fillId="0" borderId="13" xfId="2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43" fontId="1" fillId="0" borderId="13" xfId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11" fillId="0" borderId="0" xfId="3" applyFont="1" applyFill="1" applyAlignment="1">
      <alignment wrapText="1"/>
    </xf>
  </cellXfs>
  <cellStyles count="10">
    <cellStyle name="Budget" xfId="9" xr:uid="{00000000-0005-0000-0000-000000000000}"/>
    <cellStyle name="Comma" xfId="1" builtinId="3"/>
    <cellStyle name="Comma 2 2" xfId="8" xr:uid="{00000000-0005-0000-0000-000002000000}"/>
    <cellStyle name="Currency 2" xfId="4" xr:uid="{00000000-0005-0000-0000-000003000000}"/>
    <cellStyle name="Normal" xfId="0" builtinId="0"/>
    <cellStyle name="Normal 2" xfId="3" xr:uid="{00000000-0005-0000-0000-000005000000}"/>
    <cellStyle name="Normal 4" xfId="7" xr:uid="{00000000-0005-0000-0000-000006000000}"/>
    <cellStyle name="Normal 6" xfId="6" xr:uid="{00000000-0005-0000-0000-000007000000}"/>
    <cellStyle name="Percent" xfId="2" builtinId="5"/>
    <cellStyle name="Percent 2" xfId="5" xr:uid="{00000000-0005-0000-0000-00000B000000}"/>
  </cellStyles>
  <dxfs count="68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_(* #,##0_);_(* \(#,##0\);_(* &quot;-&quot;??_);_(@_)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4.png"/><Relationship Id="rId1" Type="http://schemas.openxmlformats.org/officeDocument/2006/relationships/image" Target="../media/image15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77</xdr:row>
      <xdr:rowOff>76200</xdr:rowOff>
    </xdr:from>
    <xdr:to>
      <xdr:col>1</xdr:col>
      <xdr:colOff>1781175</xdr:colOff>
      <xdr:row>78</xdr:row>
      <xdr:rowOff>876300</xdr:rowOff>
    </xdr:to>
    <xdr:pic>
      <xdr:nvPicPr>
        <xdr:cNvPr id="2" name="Picture 12" descr="cdfa_logo_4colo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19100" y="13868400"/>
          <a:ext cx="1704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0</xdr:row>
      <xdr:rowOff>57150</xdr:rowOff>
    </xdr:from>
    <xdr:to>
      <xdr:col>1</xdr:col>
      <xdr:colOff>1762125</xdr:colOff>
      <xdr:row>2</xdr:row>
      <xdr:rowOff>685800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40" y="57150"/>
          <a:ext cx="1657350" cy="942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77</xdr:row>
      <xdr:rowOff>76200</xdr:rowOff>
    </xdr:from>
    <xdr:to>
      <xdr:col>1</xdr:col>
      <xdr:colOff>1733550</xdr:colOff>
      <xdr:row>78</xdr:row>
      <xdr:rowOff>847726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3868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90" y="114300"/>
          <a:ext cx="1657350" cy="932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77</xdr:row>
      <xdr:rowOff>66675</xdr:rowOff>
    </xdr:from>
    <xdr:to>
      <xdr:col>1</xdr:col>
      <xdr:colOff>1685925</xdr:colOff>
      <xdr:row>78</xdr:row>
      <xdr:rowOff>885824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9349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76200</xdr:rowOff>
    </xdr:from>
    <xdr:to>
      <xdr:col>1</xdr:col>
      <xdr:colOff>1657350</xdr:colOff>
      <xdr:row>2</xdr:row>
      <xdr:rowOff>523875</xdr:rowOff>
    </xdr:to>
    <xdr:pic>
      <xdr:nvPicPr>
        <xdr:cNvPr id="4" name="Picture 7" descr="cdfa_logo_4colo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76200"/>
          <a:ext cx="1590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114300</xdr:rowOff>
    </xdr:from>
    <xdr:to>
      <xdr:col>1</xdr:col>
      <xdr:colOff>1666875</xdr:colOff>
      <xdr:row>2</xdr:row>
      <xdr:rowOff>733425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1430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77</xdr:row>
      <xdr:rowOff>95250</xdr:rowOff>
    </xdr:from>
    <xdr:to>
      <xdr:col>1</xdr:col>
      <xdr:colOff>1685925</xdr:colOff>
      <xdr:row>78</xdr:row>
      <xdr:rowOff>857251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3087350"/>
          <a:ext cx="16573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85725</xdr:rowOff>
    </xdr:from>
    <xdr:to>
      <xdr:col>1</xdr:col>
      <xdr:colOff>1609725</xdr:colOff>
      <xdr:row>2</xdr:row>
      <xdr:rowOff>628650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71475" y="85725"/>
          <a:ext cx="15811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66675</xdr:rowOff>
    </xdr:from>
    <xdr:to>
      <xdr:col>1</xdr:col>
      <xdr:colOff>1657350</xdr:colOff>
      <xdr:row>2</xdr:row>
      <xdr:rowOff>695325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6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77</xdr:row>
      <xdr:rowOff>76200</xdr:rowOff>
    </xdr:from>
    <xdr:to>
      <xdr:col>1</xdr:col>
      <xdr:colOff>1638300</xdr:colOff>
      <xdr:row>78</xdr:row>
      <xdr:rowOff>866776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973050"/>
          <a:ext cx="1657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77</xdr:row>
      <xdr:rowOff>19050</xdr:rowOff>
    </xdr:from>
    <xdr:to>
      <xdr:col>1</xdr:col>
      <xdr:colOff>1724025</xdr:colOff>
      <xdr:row>78</xdr:row>
      <xdr:rowOff>723900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868275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0</xdr:row>
      <xdr:rowOff>85725</xdr:rowOff>
    </xdr:from>
    <xdr:to>
      <xdr:col>1</xdr:col>
      <xdr:colOff>1762125</xdr:colOff>
      <xdr:row>2</xdr:row>
      <xdr:rowOff>714375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77</xdr:row>
      <xdr:rowOff>95250</xdr:rowOff>
    </xdr:from>
    <xdr:to>
      <xdr:col>1</xdr:col>
      <xdr:colOff>1714500</xdr:colOff>
      <xdr:row>78</xdr:row>
      <xdr:rowOff>866775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302067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236220</xdr:colOff>
      <xdr:row>120</xdr:row>
      <xdr:rowOff>0</xdr:rowOff>
    </xdr:from>
    <xdr:to>
      <xdr:col>1</xdr:col>
      <xdr:colOff>2137247</xdr:colOff>
      <xdr:row>120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36220" y="19754850"/>
          <a:ext cx="224392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57150</xdr:rowOff>
    </xdr:from>
    <xdr:to>
      <xdr:col>1</xdr:col>
      <xdr:colOff>1762125</xdr:colOff>
      <xdr:row>2</xdr:row>
      <xdr:rowOff>561975</xdr:rowOff>
    </xdr:to>
    <xdr:pic>
      <xdr:nvPicPr>
        <xdr:cNvPr id="2" name="Picture 1" descr="cdfa_logo_4colo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81000" y="57150"/>
          <a:ext cx="17240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123825</xdr:rowOff>
    </xdr:from>
    <xdr:to>
      <xdr:col>1</xdr:col>
      <xdr:colOff>1666875</xdr:colOff>
      <xdr:row>2</xdr:row>
      <xdr:rowOff>752475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38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77</xdr:row>
      <xdr:rowOff>133350</xdr:rowOff>
    </xdr:from>
    <xdr:to>
      <xdr:col>1</xdr:col>
      <xdr:colOff>1724025</xdr:colOff>
      <xdr:row>78</xdr:row>
      <xdr:rowOff>904875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1064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188594</xdr:colOff>
      <xdr:row>120</xdr:row>
      <xdr:rowOff>0</xdr:rowOff>
    </xdr:from>
    <xdr:to>
      <xdr:col>1</xdr:col>
      <xdr:colOff>2137293</xdr:colOff>
      <xdr:row>120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88594" y="19926300"/>
          <a:ext cx="2291599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Social Media</a:t>
          </a:r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 eaLnBrk="1" fontAlgn="auto" latinLnBrk="0" hangingPunct="1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77</xdr:row>
      <xdr:rowOff>57150</xdr:rowOff>
    </xdr:from>
    <xdr:to>
      <xdr:col>1</xdr:col>
      <xdr:colOff>1724025</xdr:colOff>
      <xdr:row>78</xdr:row>
      <xdr:rowOff>762000</xdr:rowOff>
    </xdr:to>
    <xdr:pic>
      <xdr:nvPicPr>
        <xdr:cNvPr id="3" name="Picture 8" descr="cdfa_logo_4color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3201650"/>
          <a:ext cx="1704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77</xdr:row>
      <xdr:rowOff>57150</xdr:rowOff>
    </xdr:from>
    <xdr:to>
      <xdr:col>1</xdr:col>
      <xdr:colOff>1676400</xdr:colOff>
      <xdr:row>78</xdr:row>
      <xdr:rowOff>828675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320165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160019</xdr:colOff>
      <xdr:row>120</xdr:row>
      <xdr:rowOff>0</xdr:rowOff>
    </xdr:from>
    <xdr:to>
      <xdr:col>1</xdr:col>
      <xdr:colOff>2232666</xdr:colOff>
      <xdr:row>120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60019" y="20021550"/>
          <a:ext cx="2415547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0</xdr:rowOff>
    </xdr:from>
    <xdr:to>
      <xdr:col>1</xdr:col>
      <xdr:colOff>1733550</xdr:colOff>
      <xdr:row>0</xdr:row>
      <xdr:rowOff>0</xdr:rowOff>
    </xdr:to>
    <xdr:pic>
      <xdr:nvPicPr>
        <xdr:cNvPr id="2" name="Picture 7" descr="cdfa_logo_4colo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95300" y="0"/>
          <a:ext cx="1581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57200" y="57150"/>
          <a:ext cx="15811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78</xdr:row>
      <xdr:rowOff>0</xdr:rowOff>
    </xdr:from>
    <xdr:to>
      <xdr:col>1</xdr:col>
      <xdr:colOff>1724025</xdr:colOff>
      <xdr:row>78</xdr:row>
      <xdr:rowOff>762000</xdr:rowOff>
    </xdr:to>
    <xdr:pic>
      <xdr:nvPicPr>
        <xdr:cNvPr id="4" name="Picture 10" descr="cdfa_logo_4color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1</xdr:col>
      <xdr:colOff>1666875</xdr:colOff>
      <xdr:row>2</xdr:row>
      <xdr:rowOff>714375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5725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77</xdr:row>
      <xdr:rowOff>47625</xdr:rowOff>
    </xdr:from>
    <xdr:to>
      <xdr:col>1</xdr:col>
      <xdr:colOff>1685925</xdr:colOff>
      <xdr:row>78</xdr:row>
      <xdr:rowOff>819151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120</xdr:row>
      <xdr:rowOff>0</xdr:rowOff>
    </xdr:from>
    <xdr:to>
      <xdr:col>1</xdr:col>
      <xdr:colOff>2183240</xdr:colOff>
      <xdr:row>120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71450" y="19916775"/>
          <a:ext cx="2354690" cy="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>
              <a:latin typeface="Arial" pitchFamily="34" charset="0"/>
              <a:cs typeface="Arial" pitchFamily="34" charset="0"/>
            </a:rPr>
            <a:t>Social Media</a:t>
          </a:r>
          <a:r>
            <a:rPr lang="en-US" sz="14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1400" b="1" baseline="0">
              <a:latin typeface="Arial" pitchFamily="34" charset="0"/>
              <a:cs typeface="Arial" pitchFamily="34" charset="0"/>
            </a:rPr>
            <a:t>Analysis</a:t>
          </a:r>
          <a:endParaRPr lang="en-US" sz="1400">
            <a:latin typeface="Arial" pitchFamily="34" charset="0"/>
            <a:cs typeface="Arial" pitchFamily="34" charset="0"/>
          </a:endParaRPr>
        </a:p>
        <a:p>
          <a:pPr algn="ctr"/>
          <a:r>
            <a:rPr lang="en-US" sz="800" b="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(Retrieved August 2013)</a:t>
          </a:r>
          <a:endParaRPr lang="en-US" sz="800">
            <a:latin typeface="Arial" pitchFamily="34" charset="0"/>
            <a:cs typeface="Arial" pitchFamily="34" charset="0"/>
          </a:endParaRPr>
        </a:p>
        <a:p>
          <a:pPr algn="ctr"/>
          <a:endParaRPr lang="en-US" sz="16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66675</xdr:rowOff>
    </xdr:from>
    <xdr:to>
      <xdr:col>1</xdr:col>
      <xdr:colOff>1724025</xdr:colOff>
      <xdr:row>2</xdr:row>
      <xdr:rowOff>533400</xdr:rowOff>
    </xdr:to>
    <xdr:pic>
      <xdr:nvPicPr>
        <xdr:cNvPr id="3" name="Picture 9" descr="cdfa_logo_4color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409575" y="66675"/>
          <a:ext cx="1657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78</xdr:row>
      <xdr:rowOff>0</xdr:rowOff>
    </xdr:from>
    <xdr:to>
      <xdr:col>1</xdr:col>
      <xdr:colOff>1724025</xdr:colOff>
      <xdr:row>78</xdr:row>
      <xdr:rowOff>762000</xdr:rowOff>
    </xdr:to>
    <xdr:pic>
      <xdr:nvPicPr>
        <xdr:cNvPr id="16" name="Picture 10" descr="cdfa_logo_4color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61950" y="12992100"/>
          <a:ext cx="1704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77</xdr:row>
      <xdr:rowOff>47625</xdr:rowOff>
    </xdr:from>
    <xdr:to>
      <xdr:col>1</xdr:col>
      <xdr:colOff>1685925</xdr:colOff>
      <xdr:row>78</xdr:row>
      <xdr:rowOff>819149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28778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1695450</xdr:colOff>
      <xdr:row>2</xdr:row>
      <xdr:rowOff>542925</xdr:rowOff>
    </xdr:to>
    <xdr:pic>
      <xdr:nvPicPr>
        <xdr:cNvPr id="18" name="Picture 7" descr="cdfa_logo_4color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0" b="22310"/>
        <a:stretch>
          <a:fillRect/>
        </a:stretch>
      </xdr:blipFill>
      <xdr:spPr bwMode="auto">
        <a:xfrm>
          <a:off x="304800" y="57150"/>
          <a:ext cx="1733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0</xdr:row>
      <xdr:rowOff>76200</xdr:rowOff>
    </xdr:from>
    <xdr:to>
      <xdr:col>1</xdr:col>
      <xdr:colOff>1657350</xdr:colOff>
      <xdr:row>2</xdr:row>
      <xdr:rowOff>704850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200"/>
          <a:ext cx="16573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e_Gov_Reporting/Gaap/CAFR%202005/Agency%20Responses/Employment%20Development%20Department/Department%20of%20Health%20Serv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e_Gov_Reporting/2008-09/GAAP/AGENCY%20REQUESTS/Department%20of%20Health%20Serv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e_Gov_Reporting/Gaap/CAFR%202005/Agency%20Requests%20Sent/Department%20of%20Health%20Serv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J25" totalsRowShown="0" headerRowDxfId="67" dataDxfId="65" headerRowBorderDxfId="66" tableBorderDxfId="64" headerRowCellStyle="Normal 2" dataCellStyle="Comma">
  <autoFilter ref="A4:J25" xr:uid="{00000000-0009-0000-0100-000001000000}"/>
  <tableColumns count="10">
    <tableColumn id="1" xr3:uid="{00000000-0010-0000-0000-000001000000}" name="Column1" dataDxfId="63" dataCellStyle="Normal 2"/>
    <tableColumn id="2" xr3:uid="{00000000-0010-0000-0000-000002000000}" name="Class 1" dataDxfId="62" dataCellStyle="Comma"/>
    <tableColumn id="3" xr3:uid="{00000000-0010-0000-0000-000003000000}" name="Class 2" dataDxfId="61" dataCellStyle="Comma"/>
    <tableColumn id="4" xr3:uid="{00000000-0010-0000-0000-000004000000}" name="Class 3" dataDxfId="60" dataCellStyle="Comma"/>
    <tableColumn id="5" xr3:uid="{00000000-0010-0000-0000-000005000000}" name="Class 3+" dataDxfId="59" dataCellStyle="Comma"/>
    <tableColumn id="6" xr3:uid="{00000000-0010-0000-0000-000006000000}" name="Class 4" dataDxfId="58" dataCellStyle="Comma"/>
    <tableColumn id="7" xr3:uid="{00000000-0010-0000-0000-000007000000}" name="Class 4+" dataDxfId="57" dataCellStyle="Comma"/>
    <tableColumn id="8" xr3:uid="{00000000-0010-0000-0000-000008000000}" name="Class 5" dataDxfId="56" dataCellStyle="Comma"/>
    <tableColumn id="9" xr3:uid="{00000000-0010-0000-0000-000009000000}" name="Class 6" dataDxfId="55" dataCellStyle="Comma"/>
    <tableColumn id="10" xr3:uid="{00000000-0010-0000-0000-00000A000000}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8"/>
  <sheetViews>
    <sheetView tabSelected="1" view="pageBreakPreview" zoomScale="85" zoomScaleNormal="85" zoomScaleSheetLayoutView="85" workbookViewId="0">
      <selection sqref="A1:J1"/>
    </sheetView>
  </sheetViews>
  <sheetFormatPr defaultRowHeight="12.75"/>
  <cols>
    <col min="1" max="1" width="58.7109375" style="4" customWidth="1"/>
    <col min="2" max="6" width="14" style="4" customWidth="1"/>
    <col min="7" max="10" width="15.5703125" style="4" customWidth="1"/>
    <col min="11" max="16384" width="9.140625" style="4"/>
  </cols>
  <sheetData>
    <row r="1" spans="1:11" s="2" customFormat="1" ht="24.95" customHeight="1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1" s="2" customFormat="1" ht="24.95" customHeight="1">
      <c r="A2" s="252" t="s">
        <v>220</v>
      </c>
      <c r="B2" s="252"/>
      <c r="C2" s="252"/>
      <c r="D2" s="252"/>
      <c r="E2" s="252"/>
      <c r="F2" s="252"/>
      <c r="G2" s="252"/>
      <c r="H2" s="252"/>
      <c r="I2" s="252"/>
      <c r="J2" s="252"/>
    </row>
    <row r="3" spans="1:11" ht="24.9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s="5" customFormat="1" ht="30" customHeight="1">
      <c r="A4" s="171" t="s">
        <v>225</v>
      </c>
      <c r="B4" s="172" t="s">
        <v>1</v>
      </c>
      <c r="C4" s="172" t="s">
        <v>2</v>
      </c>
      <c r="D4" s="172" t="s">
        <v>3</v>
      </c>
      <c r="E4" s="172" t="s">
        <v>4</v>
      </c>
      <c r="F4" s="172" t="s">
        <v>5</v>
      </c>
      <c r="G4" s="172" t="s">
        <v>6</v>
      </c>
      <c r="H4" s="172" t="s">
        <v>7</v>
      </c>
      <c r="I4" s="172" t="s">
        <v>8</v>
      </c>
      <c r="J4" s="172" t="s">
        <v>9</v>
      </c>
    </row>
    <row r="5" spans="1:11" s="5" customFormat="1" ht="30" customHeight="1" thickBot="1">
      <c r="A5" s="183" t="s">
        <v>10</v>
      </c>
      <c r="B5" s="184">
        <v>12</v>
      </c>
      <c r="C5" s="184">
        <v>9</v>
      </c>
      <c r="D5" s="184">
        <v>14</v>
      </c>
      <c r="E5" s="184">
        <v>14</v>
      </c>
      <c r="F5" s="184">
        <v>8</v>
      </c>
      <c r="G5" s="184">
        <v>6</v>
      </c>
      <c r="H5" s="184">
        <v>4</v>
      </c>
      <c r="I5" s="184">
        <v>5</v>
      </c>
      <c r="J5" s="184">
        <v>5</v>
      </c>
    </row>
    <row r="6" spans="1:11" s="5" customFormat="1" ht="30" customHeight="1" thickTop="1">
      <c r="A6" s="173" t="s">
        <v>11</v>
      </c>
      <c r="B6" s="174">
        <f>AVERAGE('Class 1'!C61:N61)</f>
        <v>28089.843333333334</v>
      </c>
      <c r="C6" s="174">
        <f>AVERAGE('Class 2'!C61:K61)</f>
        <v>125124.75888888893</v>
      </c>
      <c r="D6" s="174">
        <f>AVERAGE('Class 3'!C61:P61)</f>
        <v>372869.91500000004</v>
      </c>
      <c r="E6" s="174">
        <f>AVERAGE('Class 3+'!C61:P61)</f>
        <v>691061.69357142865</v>
      </c>
      <c r="F6" s="174">
        <f>AVERAGE('Class 4'!C61:J61)</f>
        <v>311071.625</v>
      </c>
      <c r="G6" s="174">
        <f>AVERAGE('Class 4+'!C61:H61)</f>
        <v>-135694.10999999978</v>
      </c>
      <c r="H6" s="174">
        <f>AVERAGE('Class 5'!C61:F61)</f>
        <v>1296293.5099999998</v>
      </c>
      <c r="I6" s="174">
        <f>AVERAGE('Class 6'!C61:G61)</f>
        <v>1852840.0799999989</v>
      </c>
      <c r="J6" s="174">
        <f>AVERAGE('Class 7'!C61:G61)</f>
        <v>10801293</v>
      </c>
    </row>
    <row r="7" spans="1:11" s="5" customFormat="1" ht="30" customHeight="1">
      <c r="A7" s="173" t="s">
        <v>12</v>
      </c>
      <c r="B7" s="175">
        <f>AVERAGE('Class 1'!C66:N66)</f>
        <v>-0.34461475657095436</v>
      </c>
      <c r="C7" s="176">
        <f>AVERAGE('Class 2'!C66:K66)</f>
        <v>0.22552385404077718</v>
      </c>
      <c r="D7" s="176">
        <f>AVERAGE('Class 3'!C66:P66)</f>
        <v>0.34170101926999447</v>
      </c>
      <c r="E7" s="176">
        <f>AVERAGE('Class 3+'!C66:P66)</f>
        <v>0.43643639491784236</v>
      </c>
      <c r="F7" s="176">
        <f>AVERAGE('Class 4'!C66:J66)</f>
        <v>0.14220048076228028</v>
      </c>
      <c r="G7" s="177">
        <f>AVERAGE('Class 4+'!C66:H66)</f>
        <v>-4.8771916170264017E-2</v>
      </c>
      <c r="H7" s="176">
        <f>AVERAGE('Class 5'!C66:F66)</f>
        <v>3.1111083213280031</v>
      </c>
      <c r="I7" s="176">
        <f>AVERAGE('Class 6'!C66:G66)</f>
        <v>0.18935145868954933</v>
      </c>
      <c r="J7" s="176">
        <f>AVERAGE('Class 7'!C66:G66)</f>
        <v>0.27234422614991133</v>
      </c>
    </row>
    <row r="8" spans="1:11" s="5" customFormat="1" ht="30" customHeight="1">
      <c r="A8" s="173" t="s">
        <v>13</v>
      </c>
      <c r="B8" s="178">
        <f>MAX('Class 1'!C61:N61)</f>
        <v>591020</v>
      </c>
      <c r="C8" s="178">
        <f>MAX('Class 2'!C61:K61)</f>
        <v>373529.13000000035</v>
      </c>
      <c r="D8" s="178">
        <f>MAX('Class 3'!C61:P61)</f>
        <v>1972035</v>
      </c>
      <c r="E8" s="178">
        <f>MAX('Class 3+'!C61:P61)</f>
        <v>3244972.71</v>
      </c>
      <c r="F8" s="178">
        <f>MAX('Class 4'!C61:J61)</f>
        <v>974759</v>
      </c>
      <c r="G8" s="178">
        <f>MAX('Class 4+'!C61:H61)</f>
        <v>324983.59999999998</v>
      </c>
      <c r="H8" s="178">
        <f>MAX('Class 5'!C61:F61)</f>
        <v>2855548</v>
      </c>
      <c r="I8" s="178">
        <f>MAX('Class 6'!C61:G61)</f>
        <v>5564815</v>
      </c>
      <c r="J8" s="178">
        <f>MAX('Class 7'!C61:G61)</f>
        <v>41094203</v>
      </c>
    </row>
    <row r="9" spans="1:11" s="5" customFormat="1" ht="30" customHeight="1">
      <c r="A9" s="173" t="s">
        <v>14</v>
      </c>
      <c r="B9" s="176">
        <f>MAX('Class 1'!C66:N66)</f>
        <v>1.1936952403265484</v>
      </c>
      <c r="C9" s="176">
        <f>MAX('Class 2'!C66:K66)</f>
        <v>1.0688403866759015</v>
      </c>
      <c r="D9" s="176">
        <f>MAX('Class 3'!C66:P66)</f>
        <v>1.5089525514771709</v>
      </c>
      <c r="E9" s="176">
        <f>MAX('Class 3+'!C66:P66)</f>
        <v>1.6620916726304416</v>
      </c>
      <c r="F9" s="176">
        <f>MAX('Class 4'!C66:J66)</f>
        <v>0.54360815290375253</v>
      </c>
      <c r="G9" s="176">
        <f>MAX('Class 4+'!C66:H66)</f>
        <v>0.1426921886354206</v>
      </c>
      <c r="H9" s="176">
        <f>MAX('Class 5'!C66:F66)</f>
        <v>11.647818295348049</v>
      </c>
      <c r="I9" s="176">
        <f>MAX('Class 6'!C66:G66)</f>
        <v>0.63699185619187537</v>
      </c>
      <c r="J9" s="176">
        <f>MAX('Class 7'!C66:G66)</f>
        <v>1.1655805761809537</v>
      </c>
    </row>
    <row r="10" spans="1:11" s="5" customFormat="1" ht="30" customHeight="1">
      <c r="A10" s="173" t="s">
        <v>15</v>
      </c>
      <c r="B10" s="174">
        <f>MIN('Class 1'!C61:N61)</f>
        <v>-1279015</v>
      </c>
      <c r="C10" s="174">
        <f>MIN('Class 2'!C61:K61)</f>
        <v>-113312</v>
      </c>
      <c r="D10" s="174">
        <f>MIN('Class 3'!C61:P61)</f>
        <v>-409650</v>
      </c>
      <c r="E10" s="174">
        <f>MIN('Class 3+'!C61:P61)</f>
        <v>-205341</v>
      </c>
      <c r="F10" s="174">
        <f>MIN('Class 4'!C61:J61)</f>
        <v>-311463</v>
      </c>
      <c r="G10" s="174">
        <f>MIN('Class 4+'!C61:H61)</f>
        <v>-814342.96999999892</v>
      </c>
      <c r="H10" s="178">
        <f>MIN('Class 5'!C61:F61)</f>
        <v>173079</v>
      </c>
      <c r="I10" s="178">
        <f>MIN('Class 6'!C61:G61)</f>
        <v>-488356.60000000428</v>
      </c>
      <c r="J10" s="179">
        <f>MIN('Class 7'!C61:G61)</f>
        <v>-5399689</v>
      </c>
    </row>
    <row r="11" spans="1:11" s="5" customFormat="1" ht="30" customHeight="1" thickBot="1">
      <c r="A11" s="189" t="s">
        <v>16</v>
      </c>
      <c r="B11" s="190">
        <f>MIN('Class 1'!C66:N66)</f>
        <v>-4.4753038902146303</v>
      </c>
      <c r="C11" s="190">
        <f>MIN('Class 2'!C66:K66)</f>
        <v>-0.22503480421265026</v>
      </c>
      <c r="D11" s="190">
        <f>MIN('Class 3'!C66:P66)</f>
        <v>-0.40419378805504497</v>
      </c>
      <c r="E11" s="191">
        <f>MIN('Class 3+'!C66:P66)</f>
        <v>-8.5713394138782636E-2</v>
      </c>
      <c r="F11" s="190">
        <f>MIN('Class 4'!C66:J66)</f>
        <v>-0.14474580036276724</v>
      </c>
      <c r="G11" s="190">
        <f>MIN('Class 4+'!C66:H66)</f>
        <v>-0.33159865177628484</v>
      </c>
      <c r="H11" s="191">
        <f>MIN('Class 5'!C66:F66)</f>
        <v>2.6180983523038659E-2</v>
      </c>
      <c r="I11" s="191">
        <f>MIN('Class 6'!C66:G66)</f>
        <v>-6.2873993091308755E-2</v>
      </c>
      <c r="J11" s="190">
        <f>MIN('Class 7'!C66:G66)</f>
        <v>-0.18914529983988979</v>
      </c>
    </row>
    <row r="12" spans="1:11" ht="35.25" customHeight="1" thickTop="1">
      <c r="A12" s="173" t="s">
        <v>226</v>
      </c>
      <c r="B12" s="180">
        <f>SUM('Class 1'!C32:N32)</f>
        <v>4606340.9400000004</v>
      </c>
      <c r="C12" s="180">
        <f>SUM('Class 2'!C32:K32)</f>
        <v>5308826.59</v>
      </c>
      <c r="D12" s="205">
        <f>SUM('Class 3'!C32:P32)</f>
        <v>13248866.530000001</v>
      </c>
      <c r="E12" s="180">
        <f>SUM('Class 3+'!C32:P32)</f>
        <v>21211216.879999999</v>
      </c>
      <c r="F12" s="180">
        <f>SUM('Class 4'!C32:J32)</f>
        <v>18801654</v>
      </c>
      <c r="G12" s="180">
        <f>SUM('Class 4+'!C32:H32)</f>
        <v>22751468.259999998</v>
      </c>
      <c r="H12" s="180">
        <f>SUM('Class 5'!C32:F32)</f>
        <v>24727283.880000003</v>
      </c>
      <c r="I12" s="180">
        <f>SUM('Class 6'!C32:G32)</f>
        <v>51690205.25</v>
      </c>
      <c r="J12" s="180">
        <f>SUM('Class 7'!C32:G32)</f>
        <v>247545009</v>
      </c>
      <c r="K12" s="7"/>
    </row>
    <row r="13" spans="1:11" ht="35.25" customHeight="1" thickBot="1">
      <c r="A13" s="189" t="s">
        <v>227</v>
      </c>
      <c r="B13" s="204">
        <f>SUM('Class 1'!C52:N52)</f>
        <v>5494354.040000001</v>
      </c>
      <c r="C13" s="204">
        <f>SUM('Class 2'!C52:K52)</f>
        <v>6134100.6600000001</v>
      </c>
      <c r="D13" s="204">
        <f>SUM('Class 3'!C52:P52)</f>
        <v>13508841.51</v>
      </c>
      <c r="E13" s="204">
        <f>SUM('Class 3+'!C52:P52)</f>
        <v>26971864.100000001</v>
      </c>
      <c r="F13" s="204">
        <f>SUM('Class 4'!C52:J52)</f>
        <v>18160956</v>
      </c>
      <c r="G13" s="204">
        <f>SUM('Class 4+'!C52:H52)</f>
        <v>23441886.060000002</v>
      </c>
      <c r="H13" s="204">
        <f>SUM('Class 5'!C52:F52)</f>
        <v>21639158</v>
      </c>
      <c r="I13" s="204">
        <f>SUM('Class 6'!C52:G52)</f>
        <v>51210667.370000005</v>
      </c>
      <c r="J13" s="204">
        <f>SUM('Class 7'!C52:G52)</f>
        <v>224508965</v>
      </c>
      <c r="K13" s="7"/>
    </row>
    <row r="14" spans="1:11" ht="35.25" customHeight="1" thickTop="1">
      <c r="A14" s="8" t="s">
        <v>17</v>
      </c>
      <c r="B14" s="180">
        <f>AVERAGE('Class 1'!C32:N32)</f>
        <v>383861.74500000005</v>
      </c>
      <c r="C14" s="180">
        <f>AVERAGE('Class 2'!C32:K32)</f>
        <v>589869.62111111113</v>
      </c>
      <c r="D14" s="180">
        <f>AVERAGE('Class 3'!C32:P32)</f>
        <v>946347.60928571434</v>
      </c>
      <c r="E14" s="180">
        <f>AVERAGE('Class 3+'!C32:P32)</f>
        <v>1515086.92</v>
      </c>
      <c r="F14" s="180">
        <f>AVERAGE('Class 4'!C32:J32)</f>
        <v>2350206.75</v>
      </c>
      <c r="G14" s="180">
        <f>AVERAGE('Class 4+'!C32:H32)</f>
        <v>3791911.3766666665</v>
      </c>
      <c r="H14" s="180">
        <f>AVERAGE('Class 5'!C32:F32)</f>
        <v>6181820.9700000007</v>
      </c>
      <c r="I14" s="180">
        <f>AVERAGE('Class 6'!C32:G32)</f>
        <v>10338041.050000001</v>
      </c>
      <c r="J14" s="180">
        <f>AVERAGE('Class 7'!C32:G32)</f>
        <v>49509001.799999997</v>
      </c>
      <c r="K14" s="7"/>
    </row>
    <row r="15" spans="1:11" ht="35.25" customHeight="1">
      <c r="A15" s="8" t="s">
        <v>18</v>
      </c>
      <c r="B15" s="180">
        <f>AVERAGE('Class 1'!C52:N52)</f>
        <v>457862.83666666673</v>
      </c>
      <c r="C15" s="180">
        <f>AVERAGE('Class 2'!C52:K52)</f>
        <v>681566.74</v>
      </c>
      <c r="D15" s="180">
        <f>AVERAGE('Class 3'!C52:P52)</f>
        <v>964917.25071428565</v>
      </c>
      <c r="E15" s="180">
        <f>AVERAGE('Class 3+'!C52:P52)</f>
        <v>1926561.7214285715</v>
      </c>
      <c r="F15" s="180">
        <f>AVERAGE('Class 4'!C52:J52)</f>
        <v>2270119.5</v>
      </c>
      <c r="G15" s="180">
        <f>AVERAGE('Class 4+'!C52:H52)</f>
        <v>3906981.0100000002</v>
      </c>
      <c r="H15" s="180">
        <f>AVERAGE('Class 5'!C52:F52)</f>
        <v>5409789.5</v>
      </c>
      <c r="I15" s="180">
        <f>AVERAGE('Class 6'!C52:G52)</f>
        <v>10242133.474000001</v>
      </c>
      <c r="J15" s="180">
        <f>AVERAGE('Class 7'!C52:G52)</f>
        <v>44901793</v>
      </c>
      <c r="K15" s="7"/>
    </row>
    <row r="16" spans="1:11" ht="31.5" customHeight="1">
      <c r="A16" s="8" t="s">
        <v>19</v>
      </c>
      <c r="B16" s="180">
        <f>AVERAGE('Class 1'!C56:N56)</f>
        <v>-74001.09166666666</v>
      </c>
      <c r="C16" s="180">
        <f>AVERAGE('Class 2'!C56:K56)</f>
        <v>-91697.118888888886</v>
      </c>
      <c r="D16" s="180">
        <f>AVERAGE('Class 3'!C56:P56)</f>
        <v>-18569.641428571409</v>
      </c>
      <c r="E16" s="180">
        <f>AVERAGE('Class 3+'!C56:P56)</f>
        <v>-411474.80142857146</v>
      </c>
      <c r="F16" s="180">
        <f>AVERAGE('Class 4'!C56:J56)</f>
        <v>80087.25</v>
      </c>
      <c r="G16" s="180">
        <f>AVERAGE('Class 4+'!C56:H56)</f>
        <v>-115069.63333333346</v>
      </c>
      <c r="H16" s="180">
        <f>AVERAGE('Class 5'!C56:F56)</f>
        <v>772031.47</v>
      </c>
      <c r="I16" s="180">
        <f>AVERAGE('Class 6'!C56:G56)</f>
        <v>95907.575999999608</v>
      </c>
      <c r="J16" s="180">
        <f>AVERAGE('Class 7'!C56:G56)</f>
        <v>4607208.8</v>
      </c>
    </row>
    <row r="17" spans="1:11" ht="35.25" customHeight="1">
      <c r="A17" s="8" t="s">
        <v>20</v>
      </c>
      <c r="B17" s="180">
        <f>AVERAGE('Class 1'!C57:N57)</f>
        <v>-113125.925</v>
      </c>
      <c r="C17" s="180">
        <f>AVERAGE('Class 2'!C57:K57)</f>
        <v>-205696.42888888888</v>
      </c>
      <c r="D17" s="180">
        <f>AVERAGE('Class 3'!C57:P57)</f>
        <v>-116824.50357142856</v>
      </c>
      <c r="E17" s="180">
        <f>AVERAGE('Class 3+'!C57:P57)</f>
        <v>-561625.3057142857</v>
      </c>
      <c r="F17" s="180">
        <f>AVERAGE('Class 4'!C57:J57)</f>
        <v>81946.5</v>
      </c>
      <c r="G17" s="180">
        <f>AVERAGE('Class 4+'!C57:H57)</f>
        <v>-212018.7000000001</v>
      </c>
      <c r="H17" s="180">
        <f>AVERAGE('Class 5'!C57:F57)</f>
        <v>140668.5975</v>
      </c>
      <c r="I17" s="180">
        <f>AVERAGE('Class 6'!C57:G57)</f>
        <v>-547776.15000000037</v>
      </c>
      <c r="J17" s="180">
        <f>AVERAGE('Class 7'!C57:G57)</f>
        <v>992586.2</v>
      </c>
      <c r="K17" s="7"/>
    </row>
    <row r="18" spans="1:11" ht="35.25" customHeight="1">
      <c r="A18" s="8" t="s">
        <v>21</v>
      </c>
      <c r="B18" s="180">
        <f>AVERAGE('Class 1'!C58:N58)</f>
        <v>12705.799166666673</v>
      </c>
      <c r="C18" s="180">
        <f>AVERAGE('Class 2'!C58:K58)</f>
        <v>73355.992222222223</v>
      </c>
      <c r="D18" s="180">
        <f>AVERAGE('Class 3'!C58:P58)</f>
        <v>100210.4142857143</v>
      </c>
      <c r="E18" s="180">
        <f>AVERAGE('Class 3+'!C58:P58)</f>
        <v>204176.7014285714</v>
      </c>
      <c r="F18" s="180">
        <f>AVERAGE('Class 4'!C58:J58)</f>
        <v>187647.875</v>
      </c>
      <c r="G18" s="180">
        <f>AVERAGE('Class 4+'!C58:H58)</f>
        <v>68072.699999999881</v>
      </c>
      <c r="H18" s="180">
        <f>AVERAGE('Class 5'!C58:F58)</f>
        <v>794812.72</v>
      </c>
      <c r="I18" s="180">
        <f>AVERAGE('Class 6'!C58:G58)</f>
        <v>1136859.7759999996</v>
      </c>
      <c r="J18" s="180">
        <f>AVERAGE('Class 7'!C58:G58)</f>
        <v>4607209</v>
      </c>
      <c r="K18" s="7"/>
    </row>
    <row r="19" spans="1:11" ht="35.25" customHeight="1">
      <c r="A19" s="8" t="s">
        <v>22</v>
      </c>
      <c r="B19" s="180">
        <f>AVERAGE('Class 1'!C59:N59)</f>
        <v>-26419.034166666661</v>
      </c>
      <c r="C19" s="180">
        <f>AVERAGE('Class 2'!C59:K59)</f>
        <v>-40643.317777777775</v>
      </c>
      <c r="D19" s="180">
        <f>AVERAGE('Class 3'!C59:P59)</f>
        <v>1955.5521428571624</v>
      </c>
      <c r="E19" s="180">
        <f>AVERAGE('Class 3+'!C59:P59)</f>
        <v>54026.197142857112</v>
      </c>
      <c r="F19" s="180">
        <f>AVERAGE('Class 4'!C59:J59)</f>
        <v>189507.125</v>
      </c>
      <c r="G19" s="180">
        <f>AVERAGE('Class 4+'!C59:H59)</f>
        <v>-28876.366666666796</v>
      </c>
      <c r="H19" s="180">
        <f>AVERAGE('Class 5'!C59:F59)</f>
        <v>163449.8475</v>
      </c>
      <c r="I19" s="180">
        <f>AVERAGE('Class 6'!C59:G59)</f>
        <v>493176.04999999964</v>
      </c>
      <c r="J19" s="180">
        <f>AVERAGE('Class 7'!C59:G59)</f>
        <v>992586.4</v>
      </c>
      <c r="K19" s="7"/>
    </row>
    <row r="20" spans="1:11" ht="30" customHeight="1">
      <c r="A20" s="8" t="s">
        <v>192</v>
      </c>
      <c r="B20" s="187">
        <f>AVERAGE('Class 1'!C123:N123)</f>
        <v>-1.2679429863749767</v>
      </c>
      <c r="C20" s="188">
        <f>AVERAGE('Class 2'!C123:K123)</f>
        <v>-0.18414082173950541</v>
      </c>
      <c r="D20" s="188">
        <f>AVERAGE('Class 3'!C123:P123)</f>
        <v>-4.6509939974211149E-2</v>
      </c>
      <c r="E20" s="188">
        <f>AVERAGE('Class 3+'!C123:P123)</f>
        <v>-2.4630720442195586</v>
      </c>
      <c r="F20" s="188">
        <f>AVERAGE('Class 4'!C123:J123)</f>
        <v>3.3322250805923478E-2</v>
      </c>
      <c r="G20" s="188">
        <f>AVERAGE('Class 4+'!C123:H123)</f>
        <v>-3.7401829275274488E-2</v>
      </c>
      <c r="H20" s="188">
        <f>AVERAGE('Class 5'!C123:F123)</f>
        <v>0.29463714570024629</v>
      </c>
      <c r="I20" s="188">
        <f>AVERAGE('Class 6'!C123:G123)</f>
        <v>1.1955264348258415E-2</v>
      </c>
      <c r="J20" s="188">
        <f>AVERAGE('Class 7'!C123:G123)</f>
        <v>8.1969012751049036E-2</v>
      </c>
    </row>
    <row r="21" spans="1:11" ht="30" customHeight="1">
      <c r="A21" s="8" t="s">
        <v>187</v>
      </c>
      <c r="B21" s="181">
        <f>AVERAGE('Class 1'!C106:N106)</f>
        <v>7537.8283333333338</v>
      </c>
      <c r="C21" s="181">
        <f>AVERAGE('Class 2'!C106:K106)</f>
        <v>14342.463333333333</v>
      </c>
      <c r="D21" s="181">
        <f>AVERAGE('Class 3'!C106:P106)</f>
        <v>22797.514999999996</v>
      </c>
      <c r="E21" s="181">
        <f>AVERAGE('Class 3+'!C106:P106)</f>
        <v>31396.867142857143</v>
      </c>
      <c r="F21" s="181">
        <f>AVERAGE('Class 4'!C106:J106)</f>
        <v>92464.625</v>
      </c>
      <c r="G21" s="181">
        <f>AVERAGE('Class 4+'!C106:H106)</f>
        <v>71794.59166666666</v>
      </c>
      <c r="H21" s="181">
        <f>AVERAGE('Class 5'!C106:F106)</f>
        <v>155500.75</v>
      </c>
      <c r="I21" s="181">
        <f>AVERAGE('Class 6'!C106:G106)</f>
        <v>222871</v>
      </c>
      <c r="J21" s="181">
        <f>AVERAGE('Class 7'!C106:G106)</f>
        <v>1199834.6000000001</v>
      </c>
    </row>
    <row r="22" spans="1:11" ht="30" customHeight="1" thickBot="1">
      <c r="A22" s="185" t="s">
        <v>23</v>
      </c>
      <c r="B22" s="186">
        <f>AVERAGE('Class 1'!C137:N137)</f>
        <v>1.75</v>
      </c>
      <c r="C22" s="186">
        <f>AVERAGE('Class 2'!C137:K137)</f>
        <v>2.25</v>
      </c>
      <c r="D22" s="186">
        <f>AVERAGE('Class 3'!C137:P137)</f>
        <v>2.8571428571428572</v>
      </c>
      <c r="E22" s="186">
        <f>AVERAGE('Class 3+'!C137:P137)</f>
        <v>5</v>
      </c>
      <c r="F22" s="186">
        <f>AVERAGE('Class 4'!C137:J137)</f>
        <v>6.875</v>
      </c>
      <c r="G22" s="186">
        <f>AVERAGE('Class 4+'!C137:H137)</f>
        <v>13.833333333333334</v>
      </c>
      <c r="H22" s="186">
        <f>AVERAGE('Class 5'!C137:F137)</f>
        <v>29</v>
      </c>
      <c r="I22" s="186">
        <f>AVERAGE('Class 6'!C137:G137)</f>
        <v>26.2</v>
      </c>
      <c r="J22" s="186">
        <f>AVERAGE('Class 7'!C137:G137)</f>
        <v>352.4</v>
      </c>
    </row>
    <row r="23" spans="1:11" ht="30" customHeight="1" thickTop="1">
      <c r="A23" s="8" t="s">
        <v>24</v>
      </c>
      <c r="B23" s="182">
        <f>AVERAGE('Class 1'!C139:N139)</f>
        <v>12552.125</v>
      </c>
      <c r="C23" s="182">
        <f>AVERAGE('Class 2'!C139:K139)</f>
        <v>11077.111111111111</v>
      </c>
      <c r="D23" s="182">
        <f>AVERAGE('Class 3'!C139:P139)</f>
        <v>17923.538461538461</v>
      </c>
      <c r="E23" s="182">
        <f>AVERAGE('Class 3+'!C139:P139)</f>
        <v>30626.071428571428</v>
      </c>
      <c r="F23" s="182">
        <f>AVERAGE('Class 4'!C139:J139)</f>
        <v>52802.5</v>
      </c>
      <c r="G23" s="182">
        <f>AVERAGE('Class 4+'!C139:H139)</f>
        <v>54236.166666666664</v>
      </c>
      <c r="H23" s="182">
        <f>AVERAGE('Class 5'!C139:F139)</f>
        <v>93645.333333333328</v>
      </c>
      <c r="I23" s="182">
        <f>AVERAGE('Class 6'!C139:G139)</f>
        <v>180221.6</v>
      </c>
      <c r="J23" s="182">
        <f>AVERAGE('Class 7'!C139:G139)</f>
        <v>703948.6</v>
      </c>
    </row>
    <row r="24" spans="1:11" ht="30" customHeight="1">
      <c r="A24" s="8" t="s">
        <v>25</v>
      </c>
      <c r="B24" s="182">
        <f>AVERAGE('Class 1'!C140:N140)</f>
        <v>8575.5</v>
      </c>
      <c r="C24" s="182">
        <f>AVERAGE('Class 2'!C140:K140)</f>
        <v>4300.8888888888887</v>
      </c>
      <c r="D24" s="182">
        <f>AVERAGE('Class 3'!C140:P140)</f>
        <v>11365.23076923077</v>
      </c>
      <c r="E24" s="182">
        <f>AVERAGE('Class 3+'!C140:P140)</f>
        <v>14214.357142857143</v>
      </c>
      <c r="F24" s="182">
        <f>AVERAGE('Class 4'!C140:J140)</f>
        <v>24259</v>
      </c>
      <c r="G24" s="182">
        <f>AVERAGE('Class 4+'!C140:H140)</f>
        <v>20532.166666666668</v>
      </c>
      <c r="H24" s="182">
        <f>AVERAGE('Class 5'!C140:F140)</f>
        <v>63596</v>
      </c>
      <c r="I24" s="182">
        <f>AVERAGE('Class 6'!C140:G140)</f>
        <v>89259.199999999997</v>
      </c>
      <c r="J24" s="182">
        <f>AVERAGE('Class 7'!C140:G140)</f>
        <v>330385.8</v>
      </c>
    </row>
    <row r="25" spans="1:11" ht="19.5" customHeight="1">
      <c r="A25" s="8" t="s">
        <v>26</v>
      </c>
      <c r="B25" s="182">
        <f>AVERAGE('Class 1'!C141:N141)</f>
        <v>21127.625</v>
      </c>
      <c r="C25" s="182">
        <f>AVERAGE('Class 2'!C141:K141)</f>
        <v>15378</v>
      </c>
      <c r="D25" s="182">
        <f>AVERAGE('Class 3'!C141:P141)</f>
        <v>29288.76923076923</v>
      </c>
      <c r="E25" s="182">
        <f>AVERAGE('Class 3+'!C141:P141)</f>
        <v>44840.428571428572</v>
      </c>
      <c r="F25" s="182">
        <f>AVERAGE('Class 4'!C141:J141)</f>
        <v>77061.5</v>
      </c>
      <c r="G25" s="182">
        <f>AVERAGE('Class 4+'!C141:H141)</f>
        <v>74768.333333333328</v>
      </c>
      <c r="H25" s="182">
        <f>AVERAGE('Class 5'!C141:F141)</f>
        <v>157241.33333333334</v>
      </c>
      <c r="I25" s="182">
        <f>AVERAGE('Class 6'!C141:G141)</f>
        <v>269480.8</v>
      </c>
      <c r="J25" s="182">
        <f>AVERAGE('Class 7'!C141:G141)</f>
        <v>1034334.4</v>
      </c>
    </row>
    <row r="26" spans="1:11" ht="19.5" customHeight="1">
      <c r="A26" s="8"/>
      <c r="B26" s="9">
        <f t="shared" ref="B26:J26" si="0">+B24+B23-B25</f>
        <v>0</v>
      </c>
      <c r="C26" s="9">
        <f t="shared" si="0"/>
        <v>0</v>
      </c>
      <c r="D26" s="9">
        <f t="shared" si="0"/>
        <v>0</v>
      </c>
      <c r="E26" s="9">
        <f t="shared" si="0"/>
        <v>0</v>
      </c>
      <c r="F26" s="9">
        <f t="shared" si="0"/>
        <v>0</v>
      </c>
      <c r="G26" s="9">
        <f t="shared" si="0"/>
        <v>0</v>
      </c>
      <c r="H26" s="9">
        <f t="shared" si="0"/>
        <v>0</v>
      </c>
      <c r="I26" s="9">
        <f t="shared" si="0"/>
        <v>0</v>
      </c>
      <c r="J26" s="9">
        <f t="shared" si="0"/>
        <v>0</v>
      </c>
    </row>
    <row r="27" spans="1:11" ht="30" customHeight="1">
      <c r="A27" s="4" t="s">
        <v>27</v>
      </c>
    </row>
    <row r="28" spans="1:11" ht="30" customHeight="1">
      <c r="A28" s="4" t="s">
        <v>28</v>
      </c>
    </row>
    <row r="29" spans="1:11" ht="30" customHeight="1"/>
    <row r="30" spans="1:11" ht="30" customHeight="1"/>
    <row r="32" spans="1:1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77" spans="14:14">
      <c r="N77" s="3"/>
    </row>
    <row r="78" spans="14:14">
      <c r="N78" s="250"/>
    </row>
  </sheetData>
  <mergeCells count="2">
    <mergeCell ref="A1:J1"/>
    <mergeCell ref="A2:J2"/>
  </mergeCells>
  <conditionalFormatting sqref="B6:J11">
    <cfRule type="cellIs" dxfId="53" priority="6" operator="lessThan">
      <formula>0</formula>
    </cfRule>
  </conditionalFormatting>
  <conditionalFormatting sqref="B14:J20">
    <cfRule type="cellIs" dxfId="52" priority="5" operator="lessThan">
      <formula>0</formula>
    </cfRule>
  </conditionalFormatting>
  <conditionalFormatting sqref="B12:J12">
    <cfRule type="cellIs" dxfId="51" priority="3" operator="lessThan">
      <formula>0</formula>
    </cfRule>
  </conditionalFormatting>
  <printOptions horizontalCentered="1" verticalCentered="1"/>
  <pageMargins left="0.5" right="0.5" top="0.21" bottom="0.7" header="0.21" footer="0.5"/>
  <pageSetup scale="64" orientation="landscape" r:id="rId1"/>
  <headerFooter alignWithMargins="0">
    <oddHeader xml:space="preserve">&amp;C&amp;"Arial,Bold Italic"&amp;14 </oddHeader>
    <oddFooter>&amp;C&amp;14Fairs and Expositions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7" width="12.7109375" style="10" customWidth="1"/>
    <col min="8" max="16384" width="9.140625" style="10"/>
  </cols>
  <sheetData>
    <row r="1" spans="1:7" ht="12" customHeight="1">
      <c r="A1" s="266"/>
      <c r="B1" s="267"/>
      <c r="C1" s="211"/>
      <c r="D1" s="211"/>
      <c r="E1" s="211"/>
      <c r="F1" s="211"/>
      <c r="G1" s="211"/>
    </row>
    <row r="2" spans="1:7" ht="12" customHeight="1">
      <c r="A2" s="268"/>
      <c r="B2" s="269"/>
      <c r="C2" s="272" t="s">
        <v>181</v>
      </c>
      <c r="D2" s="272" t="s">
        <v>182</v>
      </c>
      <c r="E2" s="272" t="s">
        <v>183</v>
      </c>
      <c r="F2" s="272" t="s">
        <v>184</v>
      </c>
      <c r="G2" s="272" t="s">
        <v>215</v>
      </c>
    </row>
    <row r="3" spans="1:7" ht="69" customHeight="1">
      <c r="A3" s="270"/>
      <c r="B3" s="271"/>
      <c r="C3" s="273"/>
      <c r="D3" s="273"/>
      <c r="E3" s="273"/>
      <c r="F3" s="273"/>
      <c r="G3" s="273"/>
    </row>
    <row r="4" spans="1:7" ht="13.5" customHeight="1">
      <c r="A4" s="213" t="s">
        <v>218</v>
      </c>
      <c r="B4" s="11"/>
      <c r="C4" s="13"/>
      <c r="D4" s="13"/>
      <c r="E4" s="13"/>
      <c r="F4" s="13"/>
      <c r="G4" s="239"/>
    </row>
    <row r="5" spans="1:7" ht="13.5" customHeight="1">
      <c r="A5" s="218"/>
      <c r="B5" s="11" t="s">
        <v>39</v>
      </c>
      <c r="C5" s="13">
        <v>10059482</v>
      </c>
      <c r="D5" s="13">
        <v>34951569</v>
      </c>
      <c r="E5" s="13">
        <v>4352536</v>
      </c>
      <c r="F5" s="13">
        <v>-2661064</v>
      </c>
      <c r="G5" s="169">
        <v>4395812</v>
      </c>
    </row>
    <row r="6" spans="1:7" ht="13.5" customHeight="1">
      <c r="A6" s="218"/>
      <c r="B6" s="11" t="s">
        <v>217</v>
      </c>
      <c r="C6" s="28">
        <v>-26176229</v>
      </c>
      <c r="D6" s="28">
        <v>-12551873</v>
      </c>
      <c r="E6" s="28">
        <v>0</v>
      </c>
      <c r="F6" s="28">
        <v>-8609596</v>
      </c>
      <c r="G6" s="29">
        <v>0</v>
      </c>
    </row>
    <row r="7" spans="1:7" ht="13.5" customHeight="1">
      <c r="A7" s="218"/>
      <c r="B7" s="11" t="s">
        <v>40</v>
      </c>
      <c r="C7" s="28">
        <v>185579</v>
      </c>
      <c r="D7" s="28">
        <v>0</v>
      </c>
      <c r="E7" s="28">
        <v>258571</v>
      </c>
      <c r="F7" s="28">
        <v>72266</v>
      </c>
      <c r="G7" s="29">
        <v>0</v>
      </c>
    </row>
    <row r="8" spans="1:7" ht="13.5" customHeight="1">
      <c r="A8" s="218"/>
      <c r="B8" s="11" t="s">
        <v>41</v>
      </c>
      <c r="C8" s="29">
        <v>20635856</v>
      </c>
      <c r="D8" s="29">
        <v>51553765</v>
      </c>
      <c r="E8" s="29">
        <v>8314352</v>
      </c>
      <c r="F8" s="29">
        <v>13948439</v>
      </c>
      <c r="G8" s="29">
        <v>42331729</v>
      </c>
    </row>
    <row r="9" spans="1:7" ht="13.5" customHeight="1">
      <c r="A9" s="218"/>
      <c r="B9" s="11" t="s">
        <v>42</v>
      </c>
      <c r="C9" s="28">
        <v>0</v>
      </c>
      <c r="D9" s="28">
        <v>0</v>
      </c>
      <c r="E9" s="28">
        <v>20884</v>
      </c>
      <c r="F9" s="28">
        <v>0</v>
      </c>
      <c r="G9" s="29">
        <v>0</v>
      </c>
    </row>
    <row r="10" spans="1:7" s="20" customFormat="1" ht="13.5" customHeight="1" thickBot="1">
      <c r="A10" s="216"/>
      <c r="B10" s="84" t="s">
        <v>43</v>
      </c>
      <c r="C10" s="60">
        <f>SUM(C5:C9)</f>
        <v>4704688</v>
      </c>
      <c r="D10" s="60">
        <f t="shared" ref="D10:F10" si="0">SUM(D5:D9)</f>
        <v>73953461</v>
      </c>
      <c r="E10" s="60">
        <f t="shared" si="0"/>
        <v>12946343</v>
      </c>
      <c r="F10" s="60">
        <f t="shared" si="0"/>
        <v>2750045</v>
      </c>
      <c r="G10" s="60">
        <f t="shared" ref="G10" si="1">SUM(G5:G9)</f>
        <v>46727541</v>
      </c>
    </row>
    <row r="11" spans="1:7" s="20" customFormat="1" ht="13.5" customHeight="1">
      <c r="A11" s="192" t="s">
        <v>44</v>
      </c>
      <c r="B11" s="33"/>
      <c r="C11" s="39"/>
      <c r="D11" s="39"/>
      <c r="E11" s="39"/>
      <c r="F11" s="39"/>
      <c r="G11" s="39"/>
    </row>
    <row r="12" spans="1:7" s="20" customFormat="1" ht="13.5" customHeight="1">
      <c r="A12" s="215"/>
      <c r="B12" s="21" t="s">
        <v>45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s="20" customFormat="1" ht="13.5" customHeight="1">
      <c r="A13" s="215"/>
      <c r="B13" s="21" t="s">
        <v>46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s="20" customFormat="1" ht="13.5" customHeight="1" thickBot="1">
      <c r="A14" s="216"/>
      <c r="B14" s="30" t="s">
        <v>47</v>
      </c>
      <c r="C14" s="31">
        <v>0</v>
      </c>
      <c r="D14" s="31">
        <v>0</v>
      </c>
      <c r="E14" s="31">
        <v>0</v>
      </c>
      <c r="F14" s="31">
        <v>1</v>
      </c>
      <c r="G14" s="31">
        <v>0</v>
      </c>
    </row>
    <row r="15" spans="1:7" ht="13.5" customHeight="1">
      <c r="A15" s="217" t="s">
        <v>48</v>
      </c>
      <c r="B15" s="23"/>
      <c r="C15" s="25"/>
      <c r="D15" s="25"/>
      <c r="E15" s="25"/>
      <c r="F15" s="25"/>
      <c r="G15" s="25"/>
    </row>
    <row r="16" spans="1:7" ht="13.5" customHeight="1">
      <c r="A16" s="218"/>
      <c r="B16" s="27" t="s">
        <v>49</v>
      </c>
      <c r="C16" s="28">
        <v>9397355</v>
      </c>
      <c r="D16" s="28">
        <v>11079220</v>
      </c>
      <c r="E16" s="28">
        <v>4723601</v>
      </c>
      <c r="F16" s="28">
        <v>4351632</v>
      </c>
      <c r="G16" s="28">
        <v>10936760</v>
      </c>
    </row>
    <row r="17" spans="1:7" ht="13.5" customHeight="1">
      <c r="A17" s="218"/>
      <c r="B17" s="27" t="s">
        <v>50</v>
      </c>
      <c r="C17" s="28">
        <v>3550315</v>
      </c>
      <c r="D17" s="28">
        <v>1366431</v>
      </c>
      <c r="E17" s="28">
        <v>876810</v>
      </c>
      <c r="F17" s="28">
        <v>1369728</v>
      </c>
      <c r="G17" s="28">
        <v>3512306</v>
      </c>
    </row>
    <row r="18" spans="1:7" ht="13.5" customHeight="1">
      <c r="A18" s="218"/>
      <c r="B18" s="27" t="s">
        <v>51</v>
      </c>
      <c r="C18" s="28">
        <v>11109802</v>
      </c>
      <c r="D18" s="28">
        <v>3676213</v>
      </c>
      <c r="E18" s="28">
        <v>1964166</v>
      </c>
      <c r="F18" s="28">
        <v>1963132</v>
      </c>
      <c r="G18" s="28">
        <v>0</v>
      </c>
    </row>
    <row r="19" spans="1:7" ht="13.5" customHeight="1">
      <c r="A19" s="218"/>
      <c r="B19" s="27" t="s">
        <v>52</v>
      </c>
      <c r="C19" s="28">
        <v>4781354</v>
      </c>
      <c r="D19" s="28">
        <v>8362956</v>
      </c>
      <c r="E19" s="28">
        <v>1930432</v>
      </c>
      <c r="F19" s="28">
        <v>2222056</v>
      </c>
      <c r="G19" s="28">
        <v>9363643</v>
      </c>
    </row>
    <row r="20" spans="1:7" ht="13.5" customHeight="1">
      <c r="A20" s="218"/>
      <c r="B20" s="27" t="s">
        <v>53</v>
      </c>
      <c r="C20" s="28">
        <v>881902</v>
      </c>
      <c r="D20" s="28">
        <v>107309</v>
      </c>
      <c r="E20" s="28">
        <v>103063</v>
      </c>
      <c r="F20" s="28">
        <v>616656</v>
      </c>
      <c r="G20" s="28">
        <v>564813</v>
      </c>
    </row>
    <row r="21" spans="1:7" ht="13.5" customHeight="1">
      <c r="A21" s="218"/>
      <c r="B21" s="27" t="s">
        <v>54</v>
      </c>
      <c r="C21" s="28">
        <v>2232738</v>
      </c>
      <c r="D21" s="28">
        <v>0</v>
      </c>
      <c r="E21" s="28">
        <v>484943</v>
      </c>
      <c r="F21" s="28">
        <v>0</v>
      </c>
      <c r="G21" s="28">
        <v>0</v>
      </c>
    </row>
    <row r="22" spans="1:7" ht="13.5" customHeight="1">
      <c r="A22" s="218"/>
      <c r="B22" s="27" t="s">
        <v>55</v>
      </c>
      <c r="C22" s="29">
        <v>0</v>
      </c>
      <c r="D22" s="29">
        <v>0</v>
      </c>
      <c r="E22" s="29">
        <v>2353766</v>
      </c>
      <c r="F22" s="29">
        <v>956291</v>
      </c>
      <c r="G22" s="28">
        <v>400000</v>
      </c>
    </row>
    <row r="23" spans="1:7" ht="13.5" customHeight="1">
      <c r="A23" s="218"/>
      <c r="B23" s="27" t="s">
        <v>56</v>
      </c>
      <c r="C23" s="28">
        <v>1653289</v>
      </c>
      <c r="D23" s="28">
        <v>0</v>
      </c>
      <c r="E23" s="28">
        <v>1501417</v>
      </c>
      <c r="F23" s="28">
        <v>929962</v>
      </c>
      <c r="G23" s="29">
        <v>2982670</v>
      </c>
    </row>
    <row r="24" spans="1:7" ht="13.5" customHeight="1">
      <c r="A24" s="218"/>
      <c r="B24" s="27" t="s">
        <v>57</v>
      </c>
      <c r="C24" s="28">
        <v>1580285</v>
      </c>
      <c r="D24" s="28">
        <v>4140313</v>
      </c>
      <c r="E24" s="28">
        <v>0</v>
      </c>
      <c r="F24" s="28">
        <v>0</v>
      </c>
      <c r="G24" s="28">
        <v>0</v>
      </c>
    </row>
    <row r="25" spans="1:7" ht="13.5" customHeight="1">
      <c r="A25" s="218"/>
      <c r="B25" s="27" t="s">
        <v>58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</row>
    <row r="26" spans="1:7" ht="13.5" customHeight="1">
      <c r="A26" s="218"/>
      <c r="B26" s="27" t="s">
        <v>59</v>
      </c>
      <c r="C26" s="28">
        <v>0</v>
      </c>
      <c r="D26" s="28">
        <v>507633</v>
      </c>
      <c r="E26" s="28">
        <v>0</v>
      </c>
      <c r="F26" s="28">
        <v>678589</v>
      </c>
      <c r="G26" s="28">
        <v>0</v>
      </c>
    </row>
    <row r="27" spans="1:7" ht="13.5" customHeight="1">
      <c r="A27" s="218"/>
      <c r="B27" s="27" t="s">
        <v>60</v>
      </c>
      <c r="C27" s="28">
        <v>6278219</v>
      </c>
      <c r="D27" s="28">
        <v>5393588</v>
      </c>
      <c r="E27" s="28">
        <v>816438</v>
      </c>
      <c r="F27" s="28">
        <v>5353136</v>
      </c>
      <c r="G27" s="28">
        <v>6705229</v>
      </c>
    </row>
    <row r="28" spans="1:7" ht="13.5" customHeight="1">
      <c r="A28" s="218"/>
      <c r="B28" s="27" t="s">
        <v>145</v>
      </c>
      <c r="C28" s="28">
        <v>949087</v>
      </c>
      <c r="D28" s="28">
        <v>130365</v>
      </c>
      <c r="E28" s="28">
        <v>0</v>
      </c>
      <c r="F28" s="28">
        <v>727569</v>
      </c>
      <c r="G28" s="28">
        <v>637312</v>
      </c>
    </row>
    <row r="29" spans="1:7" ht="13.5" customHeight="1">
      <c r="A29" s="218"/>
      <c r="B29" s="27" t="s">
        <v>62</v>
      </c>
      <c r="C29" s="28">
        <v>35632149</v>
      </c>
      <c r="D29" s="28">
        <v>10579128</v>
      </c>
      <c r="E29" s="28">
        <v>6617011</v>
      </c>
      <c r="F29" s="28">
        <v>7316010</v>
      </c>
      <c r="G29" s="28">
        <v>10385948</v>
      </c>
    </row>
    <row r="30" spans="1:7" ht="13.5" customHeight="1">
      <c r="A30" s="218"/>
      <c r="B30" s="27" t="s">
        <v>63</v>
      </c>
      <c r="C30" s="28">
        <v>30756</v>
      </c>
      <c r="D30" s="28">
        <v>12794</v>
      </c>
      <c r="E30" s="28">
        <v>450</v>
      </c>
      <c r="F30" s="28">
        <v>62605</v>
      </c>
      <c r="G30" s="28">
        <v>0</v>
      </c>
    </row>
    <row r="31" spans="1:7" ht="13.5" customHeight="1">
      <c r="A31" s="218"/>
      <c r="B31" s="27" t="s">
        <v>64</v>
      </c>
      <c r="C31" s="29">
        <v>747687</v>
      </c>
      <c r="D31" s="29">
        <v>570333</v>
      </c>
      <c r="E31" s="29">
        <v>3904040</v>
      </c>
      <c r="F31" s="29">
        <v>1340626</v>
      </c>
      <c r="G31" s="29">
        <v>24140978</v>
      </c>
    </row>
    <row r="32" spans="1:7" s="20" customFormat="1" ht="13.5" customHeight="1" thickBot="1">
      <c r="A32" s="214" t="s">
        <v>65</v>
      </c>
      <c r="B32" s="30"/>
      <c r="C32" s="31">
        <f>SUM(C16:C31)</f>
        <v>78824938</v>
      </c>
      <c r="D32" s="31">
        <f>SUM(D16:D31)</f>
        <v>45926283</v>
      </c>
      <c r="E32" s="31">
        <f>SUM(E16:E31)</f>
        <v>25276137</v>
      </c>
      <c r="F32" s="31">
        <f>SUM(F16:F31)</f>
        <v>27887992</v>
      </c>
      <c r="G32" s="31">
        <f>SUM(G16:G31)</f>
        <v>69629659</v>
      </c>
    </row>
    <row r="33" spans="1:7" ht="13.5" customHeight="1">
      <c r="A33" s="217" t="s">
        <v>66</v>
      </c>
      <c r="B33" s="23"/>
      <c r="C33" s="25"/>
      <c r="D33" s="25"/>
      <c r="E33" s="25"/>
      <c r="F33" s="25"/>
      <c r="G33" s="25"/>
    </row>
    <row r="34" spans="1:7" ht="13.5" customHeight="1">
      <c r="A34" s="218"/>
      <c r="B34" s="27" t="s">
        <v>67</v>
      </c>
      <c r="C34" s="28">
        <v>25646793</v>
      </c>
      <c r="D34" s="28">
        <v>5133535</v>
      </c>
      <c r="E34" s="28">
        <v>1848693</v>
      </c>
      <c r="F34" s="28">
        <v>7695853</v>
      </c>
      <c r="G34" s="28">
        <v>37076203</v>
      </c>
    </row>
    <row r="35" spans="1:7" ht="13.5" customHeight="1">
      <c r="A35" s="218"/>
      <c r="B35" s="27" t="s">
        <v>68</v>
      </c>
      <c r="C35" s="28">
        <v>10617899</v>
      </c>
      <c r="D35" s="28">
        <v>12204256</v>
      </c>
      <c r="E35" s="28">
        <v>3222470</v>
      </c>
      <c r="F35" s="28">
        <v>10872261</v>
      </c>
      <c r="G35" s="28">
        <v>8953399</v>
      </c>
    </row>
    <row r="36" spans="1:7" ht="13.5" customHeight="1">
      <c r="A36" s="218"/>
      <c r="B36" s="27" t="s">
        <v>69</v>
      </c>
      <c r="C36" s="28">
        <v>3139969</v>
      </c>
      <c r="D36" s="28">
        <v>2755950</v>
      </c>
      <c r="E36" s="28">
        <v>1378688</v>
      </c>
      <c r="F36" s="28">
        <v>1910271</v>
      </c>
      <c r="G36" s="28">
        <v>2896101</v>
      </c>
    </row>
    <row r="37" spans="1:7" ht="13.5" customHeight="1">
      <c r="A37" s="218"/>
      <c r="B37" s="27" t="s">
        <v>70</v>
      </c>
      <c r="C37" s="28">
        <v>5516695</v>
      </c>
      <c r="D37" s="28">
        <v>4140213</v>
      </c>
      <c r="E37" s="28">
        <v>3063609</v>
      </c>
      <c r="F37" s="28">
        <v>1924229</v>
      </c>
      <c r="G37" s="28">
        <v>669330</v>
      </c>
    </row>
    <row r="38" spans="1:7" ht="13.5" customHeight="1">
      <c r="A38" s="218"/>
      <c r="B38" s="27" t="s">
        <v>60</v>
      </c>
      <c r="C38" s="28">
        <v>1163270</v>
      </c>
      <c r="D38" s="28">
        <v>648903</v>
      </c>
      <c r="E38" s="28">
        <v>0</v>
      </c>
      <c r="F38" s="28">
        <v>0</v>
      </c>
      <c r="G38" s="28">
        <v>4201695</v>
      </c>
    </row>
    <row r="39" spans="1:7" ht="13.5" customHeight="1">
      <c r="A39" s="218"/>
      <c r="B39" s="27" t="s">
        <v>71</v>
      </c>
      <c r="C39" s="28">
        <v>4682939</v>
      </c>
      <c r="D39" s="28">
        <v>494253</v>
      </c>
      <c r="E39" s="28">
        <v>0</v>
      </c>
      <c r="F39" s="28">
        <v>0</v>
      </c>
      <c r="G39" s="28">
        <v>3292371</v>
      </c>
    </row>
    <row r="40" spans="1:7" ht="13.5" customHeight="1">
      <c r="A40" s="218"/>
      <c r="B40" s="27" t="s">
        <v>72</v>
      </c>
      <c r="C40" s="28">
        <v>433888</v>
      </c>
      <c r="D40" s="28">
        <v>112271</v>
      </c>
      <c r="E40" s="28">
        <v>218947</v>
      </c>
      <c r="F40" s="28">
        <v>385767</v>
      </c>
      <c r="G40" s="28">
        <v>32317</v>
      </c>
    </row>
    <row r="41" spans="1:7" ht="13.5" customHeight="1">
      <c r="A41" s="218"/>
      <c r="B41" s="27" t="s">
        <v>53</v>
      </c>
      <c r="C41" s="28">
        <v>10007609</v>
      </c>
      <c r="D41" s="28">
        <v>2316531</v>
      </c>
      <c r="E41" s="28">
        <v>946312</v>
      </c>
      <c r="F41" s="28">
        <v>2243569</v>
      </c>
      <c r="G41" s="28">
        <v>2951778</v>
      </c>
    </row>
    <row r="42" spans="1:7">
      <c r="A42" s="218"/>
      <c r="B42" s="27" t="s">
        <v>54</v>
      </c>
      <c r="C42" s="28">
        <v>1376475</v>
      </c>
      <c r="D42" s="28">
        <v>0</v>
      </c>
      <c r="E42" s="28">
        <v>1110209</v>
      </c>
      <c r="F42" s="28">
        <v>0</v>
      </c>
      <c r="G42" s="28">
        <v>0</v>
      </c>
    </row>
    <row r="43" spans="1:7" ht="13.5" customHeight="1">
      <c r="A43" s="218"/>
      <c r="B43" s="27" t="s">
        <v>55</v>
      </c>
      <c r="C43" s="28">
        <v>0</v>
      </c>
      <c r="D43" s="28">
        <v>0</v>
      </c>
      <c r="E43" s="28">
        <v>2151065</v>
      </c>
      <c r="F43" s="28">
        <v>1064041</v>
      </c>
      <c r="G43" s="28">
        <v>11770</v>
      </c>
    </row>
    <row r="44" spans="1:7" ht="13.5" customHeight="1">
      <c r="A44" s="218"/>
      <c r="B44" s="27" t="s">
        <v>56</v>
      </c>
      <c r="C44" s="28">
        <v>1333224</v>
      </c>
      <c r="D44" s="28">
        <v>0</v>
      </c>
      <c r="E44" s="28">
        <v>1276613</v>
      </c>
      <c r="F44" s="28">
        <v>448089</v>
      </c>
      <c r="G44" s="28">
        <v>1303593</v>
      </c>
    </row>
    <row r="45" spans="1:7" ht="13.5" customHeight="1">
      <c r="A45" s="218"/>
      <c r="B45" s="27" t="s">
        <v>73</v>
      </c>
      <c r="C45" s="28">
        <v>4886447</v>
      </c>
      <c r="D45" s="28">
        <v>6706276</v>
      </c>
      <c r="E45" s="28">
        <v>2037065</v>
      </c>
      <c r="F45" s="28">
        <v>1542240</v>
      </c>
      <c r="G45" s="28">
        <v>4720481</v>
      </c>
    </row>
    <row r="46" spans="1:7" ht="13.5" customHeight="1">
      <c r="A46" s="218"/>
      <c r="B46" s="27" t="s">
        <v>58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</row>
    <row r="47" spans="1:7" ht="13.5" customHeight="1">
      <c r="A47" s="218"/>
      <c r="B47" s="27" t="s">
        <v>74</v>
      </c>
      <c r="C47" s="28">
        <v>1631029</v>
      </c>
      <c r="D47" s="28">
        <v>587487</v>
      </c>
      <c r="E47" s="28">
        <v>3637693</v>
      </c>
      <c r="F47" s="28">
        <v>0</v>
      </c>
      <c r="G47" s="28">
        <v>0</v>
      </c>
    </row>
    <row r="48" spans="1:7" ht="13.5" customHeight="1">
      <c r="A48" s="218"/>
      <c r="B48" s="27" t="s">
        <v>75</v>
      </c>
      <c r="C48" s="28">
        <v>0</v>
      </c>
      <c r="D48" s="28">
        <v>0</v>
      </c>
      <c r="E48" s="28">
        <v>0</v>
      </c>
      <c r="F48" s="28">
        <v>642511</v>
      </c>
      <c r="G48" s="28">
        <v>0</v>
      </c>
    </row>
    <row r="49" spans="1:7" ht="13.5" customHeight="1">
      <c r="A49" s="218"/>
      <c r="B49" s="27" t="s">
        <v>76</v>
      </c>
      <c r="C49" s="28">
        <v>0</v>
      </c>
      <c r="D49" s="28">
        <v>144517</v>
      </c>
      <c r="E49" s="28">
        <v>1396</v>
      </c>
      <c r="F49" s="28">
        <v>-180995</v>
      </c>
      <c r="G49" s="28">
        <v>0</v>
      </c>
    </row>
    <row r="50" spans="1:7" ht="13.5" customHeight="1">
      <c r="A50" s="218"/>
      <c r="B50" s="27" t="s">
        <v>77</v>
      </c>
      <c r="C50" s="28">
        <v>577</v>
      </c>
      <c r="D50" s="28">
        <v>12232</v>
      </c>
      <c r="E50" s="28">
        <v>0</v>
      </c>
      <c r="F50" s="28">
        <v>0</v>
      </c>
      <c r="G50" s="28">
        <v>0</v>
      </c>
    </row>
    <row r="51" spans="1:7" ht="13.5" customHeight="1">
      <c r="A51" s="218"/>
      <c r="B51" s="27" t="s">
        <v>78</v>
      </c>
      <c r="C51" s="28">
        <v>0</v>
      </c>
      <c r="D51" s="28">
        <v>0</v>
      </c>
      <c r="E51" s="28">
        <v>3266093</v>
      </c>
      <c r="F51" s="28">
        <v>0</v>
      </c>
      <c r="G51" s="28">
        <v>0</v>
      </c>
    </row>
    <row r="52" spans="1:7" s="20" customFormat="1" ht="13.5" customHeight="1" thickBot="1">
      <c r="A52" s="214" t="s">
        <v>79</v>
      </c>
      <c r="B52" s="30"/>
      <c r="C52" s="31">
        <f>SUM(C34:C51)</f>
        <v>70436814</v>
      </c>
      <c r="D52" s="31">
        <f>SUM(D34:D51)</f>
        <v>35256424</v>
      </c>
      <c r="E52" s="31">
        <f>SUM(E34:E51)</f>
        <v>24158853</v>
      </c>
      <c r="F52" s="31">
        <f>SUM(F34:F51)</f>
        <v>28547836</v>
      </c>
      <c r="G52" s="31">
        <f>SUM(G34:G51)</f>
        <v>66109038</v>
      </c>
    </row>
    <row r="53" spans="1:7" ht="13.5" customHeight="1">
      <c r="A53" s="225" t="s">
        <v>80</v>
      </c>
      <c r="B53" s="68"/>
      <c r="C53" s="96">
        <f>-1270959-3134205</f>
        <v>-4405164</v>
      </c>
      <c r="D53" s="71"/>
      <c r="E53" s="69"/>
      <c r="F53" s="69"/>
      <c r="G53" s="69"/>
    </row>
    <row r="54" spans="1:7" s="20" customFormat="1" ht="13.5" customHeight="1">
      <c r="A54" s="215"/>
      <c r="B54" s="21" t="s">
        <v>81</v>
      </c>
      <c r="C54" s="22">
        <v>1481596</v>
      </c>
      <c r="D54" s="22">
        <v>3279919</v>
      </c>
      <c r="E54" s="22">
        <v>1016340</v>
      </c>
      <c r="F54" s="22">
        <v>1561523</v>
      </c>
      <c r="G54" s="22">
        <v>6598052</v>
      </c>
    </row>
    <row r="55" spans="1:7" s="20" customFormat="1" ht="13.5" customHeight="1">
      <c r="A55" s="219"/>
      <c r="B55" s="33" t="s">
        <v>199</v>
      </c>
      <c r="C55" s="22">
        <v>3093289</v>
      </c>
      <c r="D55" s="39">
        <v>714855</v>
      </c>
      <c r="E55" s="39">
        <v>0</v>
      </c>
      <c r="F55" s="39">
        <v>327539</v>
      </c>
      <c r="G55" s="39">
        <v>0</v>
      </c>
    </row>
    <row r="56" spans="1:7" s="20" customFormat="1" ht="13.5" customHeight="1">
      <c r="A56" s="192" t="s">
        <v>200</v>
      </c>
      <c r="B56" s="33"/>
      <c r="C56" s="22">
        <f t="shared" ref="C56:F56" si="2">+C32-C52</f>
        <v>8388124</v>
      </c>
      <c r="D56" s="22">
        <f t="shared" si="2"/>
        <v>10669859</v>
      </c>
      <c r="E56" s="22">
        <f t="shared" si="2"/>
        <v>1117284</v>
      </c>
      <c r="F56" s="22">
        <f t="shared" si="2"/>
        <v>-659844</v>
      </c>
      <c r="G56" s="22">
        <f t="shared" ref="G56" si="3">+G32-G52</f>
        <v>3520621</v>
      </c>
    </row>
    <row r="57" spans="1:7" s="20" customFormat="1" ht="13.5" customHeight="1">
      <c r="A57" s="192" t="s">
        <v>201</v>
      </c>
      <c r="B57" s="33"/>
      <c r="C57" s="22">
        <f>+C32-C52-C54-C55</f>
        <v>3813239</v>
      </c>
      <c r="D57" s="22">
        <f t="shared" ref="D57:F57" si="4">+D32-D52-D54-D55</f>
        <v>6675085</v>
      </c>
      <c r="E57" s="22">
        <f t="shared" si="4"/>
        <v>100944</v>
      </c>
      <c r="F57" s="22">
        <f t="shared" si="4"/>
        <v>-2548906</v>
      </c>
      <c r="G57" s="22">
        <f t="shared" ref="G57" si="5">+G32-G52-G54-G55</f>
        <v>-3077431</v>
      </c>
    </row>
    <row r="58" spans="1:7" s="20" customFormat="1" ht="13.5" customHeight="1">
      <c r="A58" s="192" t="s">
        <v>202</v>
      </c>
      <c r="B58" s="33"/>
      <c r="C58" s="22">
        <f t="shared" ref="C58:F58" si="6">+C12+C13+C14+C32+-C52</f>
        <v>8388124</v>
      </c>
      <c r="D58" s="22">
        <f t="shared" si="6"/>
        <v>10669859</v>
      </c>
      <c r="E58" s="22">
        <f t="shared" si="6"/>
        <v>1117284</v>
      </c>
      <c r="F58" s="22">
        <f t="shared" si="6"/>
        <v>-659843</v>
      </c>
      <c r="G58" s="22">
        <f t="shared" ref="G58" si="7">+G12+G13+G14+G32+-G52</f>
        <v>3520621</v>
      </c>
    </row>
    <row r="59" spans="1:7" s="20" customFormat="1" ht="13.5" customHeight="1">
      <c r="A59" s="192" t="s">
        <v>203</v>
      </c>
      <c r="B59" s="33"/>
      <c r="C59" s="22">
        <f>+C12+C13+C14+C32-C52-C54-C55</f>
        <v>3813239</v>
      </c>
      <c r="D59" s="22">
        <f t="shared" ref="D59:F59" si="8">+D12+D13+D14+D32-D52-D54-D55</f>
        <v>6675085</v>
      </c>
      <c r="E59" s="22">
        <f t="shared" si="8"/>
        <v>100944</v>
      </c>
      <c r="F59" s="22">
        <f t="shared" si="8"/>
        <v>-2548905</v>
      </c>
      <c r="G59" s="22">
        <f t="shared" ref="G59" si="9">+G12+G13+G14+G32-G52-G54-G55</f>
        <v>-3077431</v>
      </c>
    </row>
    <row r="60" spans="1:7" ht="13.5" customHeight="1">
      <c r="A60" s="217" t="s">
        <v>219</v>
      </c>
      <c r="B60" s="85"/>
      <c r="C60" s="35"/>
      <c r="D60" s="35"/>
      <c r="E60" s="35"/>
      <c r="F60" s="35"/>
      <c r="G60" s="36"/>
    </row>
    <row r="61" spans="1:7" ht="13.5" customHeight="1">
      <c r="A61" s="217"/>
      <c r="B61" s="23" t="s">
        <v>39</v>
      </c>
      <c r="C61" s="15">
        <v>9322802</v>
      </c>
      <c r="D61" s="29">
        <v>41094203</v>
      </c>
      <c r="E61" s="29">
        <v>4749257</v>
      </c>
      <c r="F61" s="29">
        <v>-5399689</v>
      </c>
      <c r="G61" s="16">
        <v>4239892</v>
      </c>
    </row>
    <row r="62" spans="1:7" ht="13.5" customHeight="1">
      <c r="A62" s="217"/>
      <c r="B62" s="23" t="s">
        <v>212</v>
      </c>
      <c r="C62" s="15">
        <v>-26330586</v>
      </c>
      <c r="D62" s="29">
        <v>-11621823</v>
      </c>
      <c r="E62" s="29">
        <v>0</v>
      </c>
      <c r="F62" s="29">
        <v>-8937135</v>
      </c>
      <c r="G62" s="16">
        <v>0</v>
      </c>
    </row>
    <row r="63" spans="1:7" ht="13.5" customHeight="1">
      <c r="A63" s="217"/>
      <c r="B63" s="23" t="s">
        <v>40</v>
      </c>
      <c r="C63" s="15">
        <v>183047</v>
      </c>
      <c r="D63" s="29">
        <v>0</v>
      </c>
      <c r="E63" s="16">
        <v>0</v>
      </c>
      <c r="F63" s="29">
        <v>125515</v>
      </c>
      <c r="G63" s="16">
        <v>0</v>
      </c>
    </row>
    <row r="64" spans="1:7" s="37" customFormat="1" ht="13.5" customHeight="1">
      <c r="A64" s="217"/>
      <c r="B64" s="23" t="s">
        <v>41</v>
      </c>
      <c r="C64" s="15">
        <v>20937501</v>
      </c>
      <c r="D64" s="29">
        <v>51156166</v>
      </c>
      <c r="E64" s="29">
        <v>8298030</v>
      </c>
      <c r="F64" s="29">
        <v>14412449</v>
      </c>
      <c r="G64" s="16">
        <v>39410218</v>
      </c>
    </row>
    <row r="65" spans="1:7" s="20" customFormat="1" ht="13.5" customHeight="1">
      <c r="A65" s="192"/>
      <c r="B65" s="38" t="s">
        <v>43</v>
      </c>
      <c r="C65" s="19">
        <f>SUM(C61:C64)</f>
        <v>4112764</v>
      </c>
      <c r="D65" s="19">
        <f>SUM(D61:D64)</f>
        <v>80628546</v>
      </c>
      <c r="E65" s="19">
        <f>SUM(E61:E64)</f>
        <v>13047287</v>
      </c>
      <c r="F65" s="19">
        <f>SUM(F61:F64)</f>
        <v>201140</v>
      </c>
      <c r="G65" s="93">
        <f>SUM(G61:G64)</f>
        <v>43650110</v>
      </c>
    </row>
    <row r="66" spans="1:7" s="41" customFormat="1" ht="13.5" customHeight="1">
      <c r="A66" s="223" t="s">
        <v>185</v>
      </c>
      <c r="B66" s="155"/>
      <c r="C66" s="222">
        <f>C61/(C52-C53)</f>
        <v>0.1245664832642451</v>
      </c>
      <c r="D66" s="222">
        <f>D61/(D52)</f>
        <v>1.1655805761809537</v>
      </c>
      <c r="E66" s="222">
        <f>E61/(E52-E33)</f>
        <v>0.19658453983721827</v>
      </c>
      <c r="F66" s="222">
        <f>F61/(F52)</f>
        <v>-0.18914529983988979</v>
      </c>
      <c r="G66" s="231">
        <f>G61/(G52)</f>
        <v>6.4134831307029461E-2</v>
      </c>
    </row>
    <row r="67" spans="1:7" hidden="1">
      <c r="A67" s="61"/>
      <c r="B67" s="53" t="s">
        <v>83</v>
      </c>
      <c r="C67" s="94">
        <f>+C10+C12+C13+C14+C32-C52-C54-C65+C53-C55</f>
        <v>-1</v>
      </c>
      <c r="D67" s="94">
        <f>+D10+D12+D13+D14+D32-D52-D54-D65-D55</f>
        <v>0</v>
      </c>
      <c r="E67" s="94">
        <f t="shared" ref="E67:F67" si="10">+E10+E12+E13+E14+E32-E52-E54-E65-E55</f>
        <v>0</v>
      </c>
      <c r="F67" s="94">
        <f t="shared" si="10"/>
        <v>0</v>
      </c>
      <c r="G67" s="167">
        <f t="shared" ref="G67" si="11">+G10+G12+G13+G14+G32-G52-G54-G65-G55</f>
        <v>0</v>
      </c>
    </row>
    <row r="68" spans="1:7" hidden="1">
      <c r="A68" s="282"/>
      <c r="B68" s="282"/>
      <c r="C68" s="94">
        <f>+C10+C59+C53-C65</f>
        <v>-1</v>
      </c>
      <c r="D68" s="94">
        <f>+D10+D59+D53-D65</f>
        <v>0</v>
      </c>
      <c r="E68" s="87">
        <f>+E10+E59+E53-E65</f>
        <v>0</v>
      </c>
      <c r="F68" s="87">
        <f>+F10+F59+F53-F65</f>
        <v>0</v>
      </c>
      <c r="G68" s="62">
        <f>+G10+G59+G53-G65</f>
        <v>0</v>
      </c>
    </row>
    <row r="69" spans="1:7" ht="13.5" customHeight="1">
      <c r="A69" s="141"/>
      <c r="B69" s="141"/>
      <c r="C69" s="94"/>
      <c r="D69" s="94"/>
      <c r="E69" s="87"/>
      <c r="F69" s="87"/>
      <c r="G69" s="62"/>
    </row>
    <row r="70" spans="1:7" ht="13.5" customHeight="1">
      <c r="A70" s="140" t="s">
        <v>193</v>
      </c>
      <c r="B70" s="134"/>
      <c r="C70" s="48"/>
      <c r="D70" s="48"/>
      <c r="E70" s="87"/>
      <c r="F70" s="87"/>
      <c r="G70" s="73"/>
    </row>
    <row r="71" spans="1:7" ht="12.75" customHeight="1">
      <c r="A71" s="137" t="s">
        <v>194</v>
      </c>
      <c r="B71" s="134"/>
      <c r="C71" s="48"/>
      <c r="D71" s="48"/>
    </row>
    <row r="72" spans="1:7" ht="12.75" customHeight="1">
      <c r="A72" s="138" t="s">
        <v>84</v>
      </c>
      <c r="B72" s="135"/>
      <c r="C72" s="98"/>
      <c r="D72" s="98"/>
    </row>
    <row r="73" spans="1:7">
      <c r="A73" s="139"/>
      <c r="B73" s="46"/>
      <c r="C73" s="46"/>
      <c r="D73" s="46"/>
    </row>
    <row r="74" spans="1:7" ht="12.75" customHeight="1">
      <c r="A74" s="137" t="s">
        <v>195</v>
      </c>
      <c r="B74" s="134"/>
      <c r="C74" s="48"/>
      <c r="D74" s="48"/>
    </row>
    <row r="75" spans="1:7" ht="12.75" customHeight="1">
      <c r="A75" s="137" t="s">
        <v>85</v>
      </c>
      <c r="B75" s="134"/>
      <c r="C75" s="48"/>
      <c r="D75" s="48"/>
    </row>
    <row r="76" spans="1:7" ht="12.75" customHeight="1">
      <c r="A76" s="137" t="s">
        <v>86</v>
      </c>
      <c r="B76" s="136"/>
      <c r="C76" s="100"/>
      <c r="D76" s="100"/>
    </row>
    <row r="78" spans="1:7">
      <c r="A78" s="274"/>
      <c r="B78" s="275"/>
      <c r="C78" s="211"/>
      <c r="D78" s="211"/>
      <c r="E78" s="211"/>
      <c r="F78" s="211"/>
      <c r="G78" s="211"/>
    </row>
    <row r="79" spans="1:7" ht="70.5" customHeight="1">
      <c r="A79" s="276"/>
      <c r="B79" s="277"/>
      <c r="C79" s="207" t="str">
        <f>C2</f>
        <v>22nd DAA, 
San Diego County Fair</v>
      </c>
      <c r="D79" s="207" t="str">
        <f>D2</f>
        <v>32nd DAA, Orange County Fair</v>
      </c>
      <c r="E79" s="207" t="str">
        <f>E2</f>
        <v>Alameda County Fair</v>
      </c>
      <c r="F79" s="207" t="str">
        <f>F2</f>
        <v>California Exposition and State Fair 
(Cal Expo)</v>
      </c>
      <c r="G79" s="207" t="str">
        <f>G2</f>
        <v>Los Angeles County Fair</v>
      </c>
    </row>
    <row r="80" spans="1:7" ht="13.5" customHeight="1">
      <c r="A80" s="213" t="s">
        <v>87</v>
      </c>
      <c r="B80" s="27"/>
      <c r="C80" s="50"/>
      <c r="D80" s="50"/>
      <c r="E80" s="50"/>
      <c r="F80" s="50"/>
      <c r="G80" s="50"/>
    </row>
    <row r="81" spans="1:7" ht="13.5" customHeight="1">
      <c r="A81" s="213" t="s">
        <v>88</v>
      </c>
      <c r="B81" s="27"/>
      <c r="C81" s="50"/>
      <c r="D81" s="50"/>
      <c r="E81" s="50"/>
      <c r="F81" s="50"/>
      <c r="G81" s="50"/>
    </row>
    <row r="82" spans="1:7" ht="13.5" customHeight="1">
      <c r="A82" s="218"/>
      <c r="B82" s="27" t="s">
        <v>89</v>
      </c>
      <c r="C82" s="28"/>
      <c r="D82" s="28"/>
      <c r="E82" s="28"/>
      <c r="F82" s="28"/>
      <c r="G82" s="28"/>
    </row>
    <row r="83" spans="1:7" ht="13.5" customHeight="1">
      <c r="A83" s="218"/>
      <c r="B83" s="27" t="s">
        <v>90</v>
      </c>
      <c r="C83" s="13">
        <v>4371090</v>
      </c>
      <c r="D83" s="13">
        <v>0</v>
      </c>
      <c r="E83" s="13">
        <v>840221</v>
      </c>
      <c r="F83" s="13">
        <v>219584</v>
      </c>
      <c r="G83" s="13">
        <v>0</v>
      </c>
    </row>
    <row r="84" spans="1:7" ht="13.5" customHeight="1">
      <c r="A84" s="218"/>
      <c r="B84" s="27" t="s">
        <v>91</v>
      </c>
      <c r="C84" s="28">
        <v>10793270</v>
      </c>
      <c r="D84" s="28">
        <v>43577495</v>
      </c>
      <c r="E84" s="28">
        <v>4109812</v>
      </c>
      <c r="F84" s="28">
        <v>6858093</v>
      </c>
      <c r="G84" s="28">
        <v>12249930</v>
      </c>
    </row>
    <row r="85" spans="1:7" ht="13.5" customHeight="1">
      <c r="A85" s="218"/>
      <c r="B85" s="27" t="s">
        <v>92</v>
      </c>
      <c r="C85" s="28">
        <v>812201</v>
      </c>
      <c r="D85" s="28">
        <v>638572</v>
      </c>
      <c r="E85" s="28">
        <v>889879</v>
      </c>
      <c r="F85" s="28">
        <v>1245643</v>
      </c>
      <c r="G85" s="28">
        <v>2293847</v>
      </c>
    </row>
    <row r="86" spans="1:7" ht="13.5" customHeight="1">
      <c r="A86" s="218"/>
      <c r="B86" s="27" t="s">
        <v>93</v>
      </c>
      <c r="C86" s="28">
        <v>414238</v>
      </c>
      <c r="D86" s="28">
        <v>72914</v>
      </c>
      <c r="E86" s="28">
        <v>75802</v>
      </c>
      <c r="F86" s="28">
        <v>748149</v>
      </c>
      <c r="G86" s="28">
        <v>0</v>
      </c>
    </row>
    <row r="87" spans="1:7" ht="13.5" customHeight="1">
      <c r="A87" s="218"/>
      <c r="B87" s="27" t="s">
        <v>94</v>
      </c>
      <c r="C87" s="28">
        <v>60806</v>
      </c>
      <c r="D87" s="28">
        <v>0</v>
      </c>
      <c r="E87" s="28">
        <v>0</v>
      </c>
      <c r="F87" s="28">
        <v>0</v>
      </c>
      <c r="G87" s="28">
        <v>1491692</v>
      </c>
    </row>
    <row r="88" spans="1:7" ht="13.5" customHeight="1">
      <c r="A88" s="218"/>
      <c r="B88" s="27" t="s">
        <v>95</v>
      </c>
      <c r="C88" s="28">
        <v>1913855</v>
      </c>
      <c r="D88" s="28">
        <v>1643369</v>
      </c>
      <c r="E88" s="28">
        <v>177729</v>
      </c>
      <c r="F88" s="28">
        <v>1345883</v>
      </c>
      <c r="G88" s="28">
        <v>0</v>
      </c>
    </row>
    <row r="89" spans="1:7" ht="13.5" customHeight="1">
      <c r="A89" s="218"/>
      <c r="B89" s="27" t="s">
        <v>96</v>
      </c>
      <c r="C89" s="28">
        <v>5512697</v>
      </c>
      <c r="D89" s="28">
        <v>133553</v>
      </c>
      <c r="E89" s="28">
        <v>1375291</v>
      </c>
      <c r="F89" s="28">
        <v>1643577</v>
      </c>
      <c r="G89" s="28">
        <v>368808</v>
      </c>
    </row>
    <row r="90" spans="1:7" ht="13.5" customHeight="1">
      <c r="A90" s="218"/>
      <c r="B90" s="27" t="s">
        <v>97</v>
      </c>
      <c r="C90" s="28">
        <v>48090523</v>
      </c>
      <c r="D90" s="28">
        <v>93071569</v>
      </c>
      <c r="E90" s="28">
        <v>19600928</v>
      </c>
      <c r="F90" s="28">
        <v>75165613</v>
      </c>
      <c r="G90" s="28">
        <v>165834028</v>
      </c>
    </row>
    <row r="91" spans="1:7" ht="13.5" customHeight="1">
      <c r="A91" s="218"/>
      <c r="B91" s="27" t="s">
        <v>98</v>
      </c>
      <c r="C91" s="28">
        <v>11148914</v>
      </c>
      <c r="D91" s="28">
        <v>7326656</v>
      </c>
      <c r="E91" s="28">
        <v>9204841</v>
      </c>
      <c r="F91" s="28">
        <v>6344082</v>
      </c>
      <c r="G91" s="28">
        <v>26731911</v>
      </c>
    </row>
    <row r="92" spans="1:7" ht="13.5" customHeight="1">
      <c r="A92" s="218"/>
      <c r="B92" s="27" t="s">
        <v>99</v>
      </c>
      <c r="C92" s="28">
        <v>7127367</v>
      </c>
      <c r="D92" s="28">
        <v>0</v>
      </c>
      <c r="E92" s="28">
        <v>10985729</v>
      </c>
      <c r="F92" s="28">
        <v>0</v>
      </c>
      <c r="G92" s="28">
        <v>0</v>
      </c>
    </row>
    <row r="93" spans="1:7" ht="13.5" customHeight="1">
      <c r="A93" s="218"/>
      <c r="B93" s="27" t="s">
        <v>180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</row>
    <row r="94" spans="1:7" ht="13.5" customHeight="1">
      <c r="A94" s="218"/>
      <c r="B94" s="27" t="s">
        <v>100</v>
      </c>
      <c r="C94" s="28">
        <f>-37369881-8665106-6820867</f>
        <v>-52855854</v>
      </c>
      <c r="D94" s="28">
        <f>-44126271-6892710</f>
        <v>-51018981</v>
      </c>
      <c r="E94" s="28">
        <f>-16833605-6913563-9034338</f>
        <v>-32781506</v>
      </c>
      <c r="F94" s="28">
        <f>-64944786-5141920</f>
        <v>-70086706</v>
      </c>
      <c r="G94" s="28">
        <f>-82840859-14143142.38</f>
        <v>-96984001.379999995</v>
      </c>
    </row>
    <row r="95" spans="1:7" ht="13.5" customHeight="1">
      <c r="A95" s="218"/>
      <c r="B95" s="27" t="s">
        <v>101</v>
      </c>
      <c r="C95" s="28">
        <v>-1</v>
      </c>
      <c r="D95" s="28">
        <v>0</v>
      </c>
      <c r="E95" s="28">
        <v>0</v>
      </c>
      <c r="F95" s="28">
        <v>0</v>
      </c>
      <c r="G95" s="28">
        <v>0.38</v>
      </c>
    </row>
    <row r="96" spans="1:7" s="20" customFormat="1" ht="13.5" customHeight="1">
      <c r="A96" s="201" t="s">
        <v>102</v>
      </c>
      <c r="B96" s="21"/>
      <c r="C96" s="22">
        <f>SUM(C82:C95)</f>
        <v>37389106</v>
      </c>
      <c r="D96" s="22">
        <f t="shared" ref="D96:F96" si="12">SUM(D82:D95)</f>
        <v>95445147</v>
      </c>
      <c r="E96" s="22">
        <f t="shared" si="12"/>
        <v>14478726</v>
      </c>
      <c r="F96" s="22">
        <f t="shared" si="12"/>
        <v>23483918</v>
      </c>
      <c r="G96" s="22">
        <f t="shared" ref="G96" si="13">SUM(G82:G95)</f>
        <v>111986215</v>
      </c>
    </row>
    <row r="97" spans="1:7" s="20" customFormat="1" ht="13.5" customHeight="1">
      <c r="A97" s="201" t="s">
        <v>207</v>
      </c>
      <c r="B97" s="21"/>
      <c r="C97" s="22">
        <v>5082739</v>
      </c>
      <c r="D97" s="22">
        <v>4332393</v>
      </c>
      <c r="E97" s="22">
        <v>0</v>
      </c>
      <c r="F97" s="22">
        <v>5020769</v>
      </c>
      <c r="G97" s="22">
        <v>0</v>
      </c>
    </row>
    <row r="98" spans="1:7" s="41" customFormat="1" ht="13.5" customHeight="1">
      <c r="A98" s="223" t="s">
        <v>204</v>
      </c>
      <c r="B98" s="155"/>
      <c r="C98" s="156">
        <f>+C96+C97</f>
        <v>42471845</v>
      </c>
      <c r="D98" s="156">
        <f t="shared" ref="D98:F98" si="14">+D96+D97</f>
        <v>99777540</v>
      </c>
      <c r="E98" s="156">
        <f t="shared" si="14"/>
        <v>14478726</v>
      </c>
      <c r="F98" s="156">
        <f t="shared" si="14"/>
        <v>28504687</v>
      </c>
      <c r="G98" s="156">
        <f t="shared" ref="G98" si="15">+G96+G97</f>
        <v>111986215</v>
      </c>
    </row>
    <row r="99" spans="1:7" ht="13.5" customHeight="1">
      <c r="A99" s="213" t="s">
        <v>205</v>
      </c>
      <c r="B99" s="27"/>
      <c r="C99" s="49"/>
      <c r="D99" s="50"/>
      <c r="E99" s="50"/>
      <c r="F99" s="50"/>
      <c r="G99" s="50"/>
    </row>
    <row r="100" spans="1:7" ht="13.5" customHeight="1">
      <c r="A100" s="218"/>
      <c r="B100" s="27" t="s">
        <v>103</v>
      </c>
      <c r="C100" s="17">
        <v>0</v>
      </c>
      <c r="D100" s="28">
        <v>120</v>
      </c>
      <c r="E100" s="28">
        <v>0</v>
      </c>
      <c r="F100" s="28">
        <v>0</v>
      </c>
      <c r="G100" s="50">
        <v>0</v>
      </c>
    </row>
    <row r="101" spans="1:7" ht="13.5" customHeight="1">
      <c r="A101" s="218"/>
      <c r="B101" s="27" t="s">
        <v>104</v>
      </c>
      <c r="C101" s="17">
        <v>1977186</v>
      </c>
      <c r="D101" s="28">
        <v>758775</v>
      </c>
      <c r="E101" s="28">
        <v>542542</v>
      </c>
      <c r="F101" s="28">
        <v>951803</v>
      </c>
      <c r="G101" s="28">
        <v>3927225</v>
      </c>
    </row>
    <row r="102" spans="1:7" ht="13.5" customHeight="1">
      <c r="A102" s="218"/>
      <c r="B102" s="27" t="s">
        <v>105</v>
      </c>
      <c r="C102" s="17">
        <v>498426</v>
      </c>
      <c r="D102" s="28">
        <v>439854</v>
      </c>
      <c r="E102" s="28">
        <v>93015</v>
      </c>
      <c r="F102" s="28">
        <v>738947</v>
      </c>
      <c r="G102" s="28">
        <v>424411</v>
      </c>
    </row>
    <row r="103" spans="1:7" ht="13.5" customHeight="1">
      <c r="A103" s="218"/>
      <c r="B103" s="27" t="s">
        <v>106</v>
      </c>
      <c r="C103" s="17">
        <v>164998</v>
      </c>
      <c r="D103" s="28">
        <v>537039</v>
      </c>
      <c r="E103" s="28">
        <v>83461</v>
      </c>
      <c r="F103" s="28">
        <v>167424</v>
      </c>
      <c r="G103" s="28">
        <v>1066060</v>
      </c>
    </row>
    <row r="104" spans="1:7" ht="13.5" customHeight="1">
      <c r="A104" s="218"/>
      <c r="B104" s="27" t="s">
        <v>107</v>
      </c>
      <c r="C104" s="17">
        <v>1426562</v>
      </c>
      <c r="D104" s="28">
        <v>435039</v>
      </c>
      <c r="E104" s="28">
        <v>19918</v>
      </c>
      <c r="F104" s="28">
        <v>200317</v>
      </c>
      <c r="G104" s="28">
        <v>8070345</v>
      </c>
    </row>
    <row r="105" spans="1:7" ht="13.5" customHeight="1">
      <c r="A105" s="218"/>
      <c r="B105" s="27" t="s">
        <v>108</v>
      </c>
      <c r="C105" s="17">
        <v>0</v>
      </c>
      <c r="D105" s="28">
        <v>32102</v>
      </c>
      <c r="E105" s="28">
        <v>146281</v>
      </c>
      <c r="F105" s="28">
        <v>559973</v>
      </c>
      <c r="G105" s="28">
        <v>0</v>
      </c>
    </row>
    <row r="106" spans="1:7" ht="13.5" customHeight="1">
      <c r="A106" s="218"/>
      <c r="B106" s="27" t="s">
        <v>109</v>
      </c>
      <c r="C106" s="17">
        <v>2695537</v>
      </c>
      <c r="D106" s="28">
        <v>987550</v>
      </c>
      <c r="E106" s="28">
        <v>284597</v>
      </c>
      <c r="F106" s="28">
        <v>1521554</v>
      </c>
      <c r="G106" s="28">
        <v>509935</v>
      </c>
    </row>
    <row r="107" spans="1:7" ht="13.5" customHeight="1">
      <c r="A107" s="218"/>
      <c r="B107" s="27" t="s">
        <v>110</v>
      </c>
      <c r="C107" s="17">
        <v>0</v>
      </c>
      <c r="D107" s="28">
        <v>0</v>
      </c>
      <c r="E107" s="28">
        <v>264982</v>
      </c>
      <c r="F107" s="28">
        <v>10205625</v>
      </c>
      <c r="G107" s="28">
        <v>54338128</v>
      </c>
    </row>
    <row r="108" spans="1:7" ht="13.5" customHeight="1">
      <c r="A108" s="218"/>
      <c r="B108" s="27" t="s">
        <v>210</v>
      </c>
      <c r="C108" s="17">
        <v>31413325</v>
      </c>
      <c r="D108" s="28">
        <v>15917666</v>
      </c>
      <c r="E108" s="28">
        <v>0</v>
      </c>
      <c r="F108" s="28">
        <v>13835772</v>
      </c>
      <c r="G108" s="28">
        <v>0</v>
      </c>
    </row>
    <row r="109" spans="1:7" s="20" customFormat="1" ht="13.5" customHeight="1">
      <c r="A109" s="201" t="s">
        <v>209</v>
      </c>
      <c r="B109" s="21"/>
      <c r="C109" s="22">
        <f>SUM(C100:C108)</f>
        <v>38176034</v>
      </c>
      <c r="D109" s="22">
        <f t="shared" ref="D109:F109" si="16">SUM(D100:D108)</f>
        <v>19108145</v>
      </c>
      <c r="E109" s="22">
        <f t="shared" si="16"/>
        <v>1434796</v>
      </c>
      <c r="F109" s="22">
        <f t="shared" si="16"/>
        <v>28181415</v>
      </c>
      <c r="G109" s="22">
        <f t="shared" ref="G109" si="17">SUM(G100:G108)</f>
        <v>68336104</v>
      </c>
    </row>
    <row r="110" spans="1:7" s="20" customFormat="1" ht="13.5" customHeight="1">
      <c r="A110" s="201" t="s">
        <v>208</v>
      </c>
      <c r="B110" s="21"/>
      <c r="C110" s="22">
        <v>0</v>
      </c>
      <c r="D110" s="22">
        <v>36550</v>
      </c>
      <c r="E110" s="22">
        <v>0</v>
      </c>
      <c r="F110" s="22">
        <v>122132</v>
      </c>
      <c r="G110" s="22">
        <v>0</v>
      </c>
    </row>
    <row r="111" spans="1:7" s="41" customFormat="1" ht="13.5" customHeight="1">
      <c r="A111" s="223" t="s">
        <v>206</v>
      </c>
      <c r="B111" s="155"/>
      <c r="C111" s="156">
        <f>+C109+C110</f>
        <v>38176034</v>
      </c>
      <c r="D111" s="156">
        <f t="shared" ref="D111:F111" si="18">+D109+D110</f>
        <v>19144695</v>
      </c>
      <c r="E111" s="156">
        <f t="shared" si="18"/>
        <v>1434796</v>
      </c>
      <c r="F111" s="156">
        <f t="shared" si="18"/>
        <v>28303547</v>
      </c>
      <c r="G111" s="156">
        <f t="shared" ref="G111" si="19">+G109+G110</f>
        <v>68336104</v>
      </c>
    </row>
    <row r="112" spans="1:7" ht="13.5" customHeight="1">
      <c r="A112" s="213" t="s">
        <v>111</v>
      </c>
      <c r="B112" s="27"/>
      <c r="C112" s="49"/>
      <c r="D112" s="50"/>
      <c r="E112" s="50"/>
      <c r="F112" s="50"/>
      <c r="G112" s="50"/>
    </row>
    <row r="113" spans="1:7" ht="13.5" customHeight="1">
      <c r="A113" s="218"/>
      <c r="B113" s="27" t="s">
        <v>112</v>
      </c>
      <c r="C113" s="17">
        <v>183047</v>
      </c>
      <c r="D113" s="28">
        <v>4299</v>
      </c>
      <c r="E113" s="28">
        <v>-3356</v>
      </c>
      <c r="F113" s="28">
        <v>0</v>
      </c>
      <c r="G113" s="17">
        <v>0</v>
      </c>
    </row>
    <row r="114" spans="1:7" ht="13.5" customHeight="1">
      <c r="A114" s="218"/>
      <c r="B114" s="27" t="s">
        <v>39</v>
      </c>
      <c r="C114" s="17">
        <f>C61</f>
        <v>9322802</v>
      </c>
      <c r="D114" s="17">
        <f t="shared" ref="D114:F114" si="20">D61</f>
        <v>41094203</v>
      </c>
      <c r="E114" s="17">
        <f t="shared" si="20"/>
        <v>4749257</v>
      </c>
      <c r="F114" s="17">
        <f t="shared" si="20"/>
        <v>-5399689</v>
      </c>
      <c r="G114" s="28">
        <f t="shared" ref="G114" si="21">G61</f>
        <v>4239892</v>
      </c>
    </row>
    <row r="115" spans="1:7" ht="13.5" customHeight="1">
      <c r="A115" s="218"/>
      <c r="B115" s="27" t="s">
        <v>212</v>
      </c>
      <c r="C115" s="17">
        <f t="shared" ref="C115:F115" si="22">C62</f>
        <v>-26330586</v>
      </c>
      <c r="D115" s="17">
        <f t="shared" si="22"/>
        <v>-11621823</v>
      </c>
      <c r="E115" s="17">
        <f t="shared" si="22"/>
        <v>0</v>
      </c>
      <c r="F115" s="17">
        <f t="shared" si="22"/>
        <v>-8937135</v>
      </c>
      <c r="G115" s="28">
        <f t="shared" ref="G115" si="23">G62</f>
        <v>0</v>
      </c>
    </row>
    <row r="116" spans="1:7" ht="13.5" customHeight="1">
      <c r="A116" s="218"/>
      <c r="B116" s="27" t="s">
        <v>40</v>
      </c>
      <c r="C116" s="17">
        <f t="shared" ref="C116:F116" si="24">C63</f>
        <v>183047</v>
      </c>
      <c r="D116" s="17">
        <f t="shared" si="24"/>
        <v>0</v>
      </c>
      <c r="E116" s="17">
        <f t="shared" si="24"/>
        <v>0</v>
      </c>
      <c r="F116" s="17">
        <f t="shared" si="24"/>
        <v>125515</v>
      </c>
      <c r="G116" s="28">
        <f t="shared" ref="G116" si="25">G63</f>
        <v>0</v>
      </c>
    </row>
    <row r="117" spans="1:7" ht="13.5" customHeight="1">
      <c r="A117" s="218"/>
      <c r="B117" s="27" t="s">
        <v>113</v>
      </c>
      <c r="C117" s="17">
        <f t="shared" ref="C117:F117" si="26">C64</f>
        <v>20937501</v>
      </c>
      <c r="D117" s="17">
        <f t="shared" si="26"/>
        <v>51156166</v>
      </c>
      <c r="E117" s="17">
        <f t="shared" si="26"/>
        <v>8298030</v>
      </c>
      <c r="F117" s="17">
        <f t="shared" si="26"/>
        <v>14412449</v>
      </c>
      <c r="G117" s="28">
        <f t="shared" ref="G117" si="27">G64</f>
        <v>39410218</v>
      </c>
    </row>
    <row r="118" spans="1:7" ht="13.5" customHeight="1">
      <c r="A118" s="224"/>
      <c r="B118" s="54" t="s">
        <v>101</v>
      </c>
      <c r="C118" s="55">
        <v>0</v>
      </c>
      <c r="D118" s="56">
        <v>0</v>
      </c>
      <c r="E118" s="56">
        <v>0</v>
      </c>
      <c r="F118" s="56">
        <v>0</v>
      </c>
      <c r="G118" s="56">
        <v>1</v>
      </c>
    </row>
    <row r="119" spans="1:7" s="20" customFormat="1" ht="13.5" customHeight="1">
      <c r="A119" s="201" t="s">
        <v>43</v>
      </c>
      <c r="B119" s="58"/>
      <c r="C119" s="59">
        <f t="shared" ref="C119" si="28">SUM(C113:C118)</f>
        <v>4295811</v>
      </c>
      <c r="D119" s="59">
        <f t="shared" ref="D119:F119" si="29">SUM(D113:D118)</f>
        <v>80632845</v>
      </c>
      <c r="E119" s="59">
        <f t="shared" si="29"/>
        <v>13043931</v>
      </c>
      <c r="F119" s="59">
        <f t="shared" si="29"/>
        <v>201140</v>
      </c>
      <c r="G119" s="59">
        <f t="shared" ref="G119" si="30">SUM(G113:G118)</f>
        <v>43650111</v>
      </c>
    </row>
    <row r="120" spans="1:7" s="41" customFormat="1" ht="13.5" customHeight="1">
      <c r="A120" s="223" t="s">
        <v>211</v>
      </c>
      <c r="B120" s="155"/>
      <c r="C120" s="156">
        <f t="shared" ref="C120" si="31">SUM(C111:C118)</f>
        <v>42471845</v>
      </c>
      <c r="D120" s="156">
        <f t="shared" ref="D120:F120" si="32">SUM(D111:D118)</f>
        <v>99777540</v>
      </c>
      <c r="E120" s="156">
        <f t="shared" si="32"/>
        <v>14478727</v>
      </c>
      <c r="F120" s="156">
        <f t="shared" si="32"/>
        <v>28504687</v>
      </c>
      <c r="G120" s="156">
        <f t="shared" ref="G120" si="33">SUM(G111:G118)</f>
        <v>111986215</v>
      </c>
    </row>
    <row r="121" spans="1:7" hidden="1">
      <c r="A121" s="61"/>
      <c r="B121" s="53" t="s">
        <v>83</v>
      </c>
      <c r="C121" s="87">
        <f>+C98-C120</f>
        <v>0</v>
      </c>
      <c r="D121" s="87">
        <f>+D98-D120</f>
        <v>0</v>
      </c>
      <c r="E121" s="87">
        <f>+E98-E120</f>
        <v>-1</v>
      </c>
      <c r="F121" s="87">
        <f>+F98-F120</f>
        <v>0</v>
      </c>
      <c r="G121" s="73">
        <f>+G98-G120</f>
        <v>0</v>
      </c>
    </row>
    <row r="122" spans="1:7" ht="13.5" customHeight="1">
      <c r="A122" s="53"/>
      <c r="B122" s="78"/>
      <c r="C122" s="80"/>
      <c r="D122" s="80"/>
      <c r="E122" s="80"/>
      <c r="F122" s="80"/>
      <c r="G122" s="80"/>
    </row>
    <row r="123" spans="1:7" ht="39.75" customHeight="1">
      <c r="A123" s="262" t="s">
        <v>114</v>
      </c>
      <c r="B123" s="263"/>
      <c r="C123" s="256">
        <f>C56/(C32)</f>
        <v>0.10641459686273397</v>
      </c>
      <c r="D123" s="256">
        <f>D56/(D32)</f>
        <v>0.2323257686671486</v>
      </c>
      <c r="E123" s="256">
        <f>E56/(E32)</f>
        <v>4.4203115373207542E-2</v>
      </c>
      <c r="F123" s="256">
        <f>F56/(F32)</f>
        <v>-2.3660505926708528E-2</v>
      </c>
      <c r="G123" s="256">
        <f>G56/(G32)</f>
        <v>5.0562088778863618E-2</v>
      </c>
    </row>
    <row r="124" spans="1:7" ht="24">
      <c r="A124" s="192"/>
      <c r="B124" s="193" t="s">
        <v>115</v>
      </c>
      <c r="C124" s="256"/>
      <c r="D124" s="256"/>
      <c r="E124" s="256"/>
      <c r="F124" s="256"/>
      <c r="G124" s="256"/>
    </row>
    <row r="125" spans="1:7" ht="14.25">
      <c r="A125" s="194" t="s">
        <v>188</v>
      </c>
      <c r="B125" s="195"/>
      <c r="C125" s="253">
        <f>(SUM(C84:C85))/SUM(C100:C105)</f>
        <v>2.8534497680452167</v>
      </c>
      <c r="D125" s="253">
        <f>(SUM(D84:D85))/SUM(D100:D105)</f>
        <v>20.07148982105188</v>
      </c>
      <c r="E125" s="253">
        <f>(SUM(E84:E85))/SUM(E100:E105)</f>
        <v>5.6479834887942735</v>
      </c>
      <c r="F125" s="253">
        <f>(SUM(F84:F85))/SUM(F100:F105)</f>
        <v>3.0948433891013969</v>
      </c>
      <c r="G125" s="253">
        <f>(SUM(G84:G85))/SUM(G100:G105)</f>
        <v>1.0782720040664171</v>
      </c>
    </row>
    <row r="126" spans="1:7" ht="36">
      <c r="A126" s="196"/>
      <c r="B126" s="197" t="s">
        <v>189</v>
      </c>
      <c r="C126" s="254"/>
      <c r="D126" s="254"/>
      <c r="E126" s="254"/>
      <c r="F126" s="254"/>
      <c r="G126" s="254"/>
    </row>
    <row r="127" spans="1:7" ht="14.25">
      <c r="A127" s="194" t="s">
        <v>190</v>
      </c>
      <c r="B127" s="195"/>
      <c r="C127" s="253">
        <f>(SUM(C84:C85))/SUM(C100:C106)</f>
        <v>1.7160979424073992</v>
      </c>
      <c r="D127" s="253">
        <f>(SUM(D84:D85))/SUM(D100:D106)</f>
        <v>13.858755064678375</v>
      </c>
      <c r="E127" s="253">
        <f>(SUM(E84:E85))/SUM(E100:E106)</f>
        <v>4.2739196145712057</v>
      </c>
      <c r="F127" s="253">
        <f>(SUM(F84:F85))/SUM(F100:F106)</f>
        <v>1.9574156440865715</v>
      </c>
      <c r="G127" s="253">
        <f>(SUM(G84:G85))/SUM(G100:G106)</f>
        <v>1.0389914227599761</v>
      </c>
    </row>
    <row r="128" spans="1:7" ht="24">
      <c r="A128" s="196"/>
      <c r="B128" s="197" t="s">
        <v>191</v>
      </c>
      <c r="C128" s="254"/>
      <c r="D128" s="254"/>
      <c r="E128" s="254"/>
      <c r="F128" s="254"/>
      <c r="G128" s="254"/>
    </row>
    <row r="129" spans="1:7" s="115" customFormat="1" ht="8.1" customHeight="1">
      <c r="A129" s="116"/>
      <c r="B129" s="117"/>
      <c r="C129" s="118"/>
      <c r="D129" s="118"/>
      <c r="E129" s="118"/>
      <c r="F129" s="118"/>
      <c r="G129" s="119"/>
    </row>
    <row r="130" spans="1:7" ht="13.5" customHeight="1">
      <c r="A130" s="199" t="s">
        <v>116</v>
      </c>
      <c r="B130" s="58"/>
      <c r="C130" s="255">
        <f>C111/C98</f>
        <v>0.89885508858868735</v>
      </c>
      <c r="D130" s="255">
        <f>D111/D98</f>
        <v>0.19187379243865904</v>
      </c>
      <c r="E130" s="255">
        <f>E111/E98</f>
        <v>9.9096840426429786E-2</v>
      </c>
      <c r="F130" s="255">
        <f>F111/F98</f>
        <v>0.99294361660592867</v>
      </c>
      <c r="G130" s="255">
        <f>G111/G98</f>
        <v>0.61021889167340815</v>
      </c>
    </row>
    <row r="131" spans="1:7" ht="25.5">
      <c r="A131" s="192"/>
      <c r="B131" s="198" t="s">
        <v>117</v>
      </c>
      <c r="C131" s="255"/>
      <c r="D131" s="255"/>
      <c r="E131" s="255"/>
      <c r="F131" s="255"/>
      <c r="G131" s="255"/>
    </row>
    <row r="132" spans="1:7" ht="13.5" customHeight="1">
      <c r="A132" s="199" t="s">
        <v>118</v>
      </c>
      <c r="B132" s="200"/>
      <c r="C132" s="255">
        <f>C119/C98</f>
        <v>0.1011449114113126</v>
      </c>
      <c r="D132" s="255">
        <f>D119/D98</f>
        <v>0.80812620756134101</v>
      </c>
      <c r="E132" s="255">
        <f>E119/E98</f>
        <v>0.90090322864042038</v>
      </c>
      <c r="F132" s="255">
        <f>F119/F98</f>
        <v>7.0563833940712976E-3</v>
      </c>
      <c r="G132" s="255">
        <f>G119/G98</f>
        <v>0.3897811083265918</v>
      </c>
    </row>
    <row r="133" spans="1:7" ht="24">
      <c r="A133" s="192"/>
      <c r="B133" s="193" t="s">
        <v>119</v>
      </c>
      <c r="C133" s="255"/>
      <c r="D133" s="255"/>
      <c r="E133" s="255"/>
      <c r="F133" s="255"/>
      <c r="G133" s="255"/>
    </row>
    <row r="134" spans="1:7" ht="13.5" customHeight="1">
      <c r="A134" s="264" t="s">
        <v>120</v>
      </c>
      <c r="B134" s="265"/>
      <c r="C134" s="255">
        <f>C111/C119</f>
        <v>8.886804843136721</v>
      </c>
      <c r="D134" s="255">
        <f>D111/D119</f>
        <v>0.23743047885759208</v>
      </c>
      <c r="E134" s="255">
        <f>E111/E119</f>
        <v>0.10999720866355396</v>
      </c>
      <c r="F134" s="255">
        <f>F111/F119</f>
        <v>140.71565576215571</v>
      </c>
      <c r="G134" s="255">
        <f>G111/G119</f>
        <v>1.5655425022859621</v>
      </c>
    </row>
    <row r="135" spans="1:7">
      <c r="A135" s="192"/>
      <c r="B135" s="193" t="s">
        <v>121</v>
      </c>
      <c r="C135" s="255"/>
      <c r="D135" s="255"/>
      <c r="E135" s="255"/>
      <c r="F135" s="255"/>
      <c r="G135" s="255"/>
    </row>
    <row r="136" spans="1:7" s="115" customFormat="1" ht="8.1" customHeight="1">
      <c r="A136" s="120"/>
      <c r="B136" s="121"/>
      <c r="C136" s="129"/>
      <c r="D136" s="129"/>
      <c r="E136" s="129"/>
      <c r="F136" s="129"/>
      <c r="G136" s="127"/>
    </row>
    <row r="137" spans="1:7">
      <c r="A137" s="201" t="s">
        <v>122</v>
      </c>
      <c r="B137" s="21"/>
      <c r="C137" s="63">
        <v>150</v>
      </c>
      <c r="D137" s="63">
        <v>102</v>
      </c>
      <c r="E137" s="63">
        <v>112</v>
      </c>
      <c r="F137" s="63">
        <f>77+86</f>
        <v>163</v>
      </c>
      <c r="G137" s="91">
        <f>111+680+444</f>
        <v>1235</v>
      </c>
    </row>
    <row r="138" spans="1:7" s="115" customFormat="1" ht="8.1" customHeight="1">
      <c r="A138" s="126"/>
      <c r="B138" s="121"/>
      <c r="C138" s="130"/>
      <c r="D138" s="130"/>
      <c r="E138" s="130"/>
      <c r="F138" s="130"/>
      <c r="G138" s="132"/>
    </row>
    <row r="139" spans="1:7">
      <c r="A139" s="203" t="s">
        <v>123</v>
      </c>
      <c r="B139" s="203"/>
      <c r="C139" s="128">
        <v>1008805</v>
      </c>
      <c r="D139" s="128">
        <v>1071345</v>
      </c>
      <c r="E139" s="128">
        <v>296172</v>
      </c>
      <c r="F139" s="63">
        <v>480210</v>
      </c>
      <c r="G139" s="133">
        <v>663211</v>
      </c>
    </row>
    <row r="140" spans="1:7">
      <c r="A140" s="202" t="s">
        <v>124</v>
      </c>
      <c r="B140" s="202"/>
      <c r="C140" s="128">
        <v>557128</v>
      </c>
      <c r="D140" s="128">
        <v>258754</v>
      </c>
      <c r="E140" s="128">
        <v>110416</v>
      </c>
      <c r="F140" s="63">
        <v>157599</v>
      </c>
      <c r="G140" s="133">
        <v>568032</v>
      </c>
    </row>
    <row r="141" spans="1:7">
      <c r="A141" s="202" t="s">
        <v>125</v>
      </c>
      <c r="B141" s="202"/>
      <c r="C141" s="133">
        <v>1565933</v>
      </c>
      <c r="D141" s="133">
        <v>1330099</v>
      </c>
      <c r="E141" s="133">
        <v>406588</v>
      </c>
      <c r="F141" s="91">
        <v>637809</v>
      </c>
      <c r="G141" s="133">
        <v>1231243</v>
      </c>
    </row>
    <row r="142" spans="1:7">
      <c r="A142" s="10" t="s">
        <v>175</v>
      </c>
      <c r="C142" s="81"/>
      <c r="D142" s="81"/>
      <c r="E142" s="81"/>
      <c r="F142" s="82"/>
    </row>
    <row r="144" spans="1:7">
      <c r="A144" s="152"/>
      <c r="B144" s="48"/>
    </row>
    <row r="145" spans="1:2">
      <c r="A145" s="152"/>
      <c r="B145" s="48"/>
    </row>
  </sheetData>
  <mergeCells count="40">
    <mergeCell ref="F2:F3"/>
    <mergeCell ref="G2:G3"/>
    <mergeCell ref="A134:B134"/>
    <mergeCell ref="A68:B68"/>
    <mergeCell ref="A1:B3"/>
    <mergeCell ref="C2:C3"/>
    <mergeCell ref="D2:D3"/>
    <mergeCell ref="E2:E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F124">
    <cfRule type="cellIs" dxfId="3" priority="8" operator="lessThan">
      <formula>0</formula>
    </cfRule>
  </conditionalFormatting>
  <conditionalFormatting sqref="C66:F66">
    <cfRule type="cellIs" dxfId="2" priority="7" operator="lessThan">
      <formula>0</formula>
    </cfRule>
  </conditionalFormatting>
  <conditionalFormatting sqref="G123:G124">
    <cfRule type="cellIs" dxfId="1" priority="2" operator="lessThan">
      <formula>0</formula>
    </cfRule>
  </conditionalFormatting>
  <conditionalFormatting sqref="G66">
    <cfRule type="cellIs" dxfId="0" priority="1" operator="lessThan">
      <formula>0</formula>
    </cfRule>
  </conditionalFormatting>
  <printOptions horizontalCentered="1"/>
  <pageMargins left="0.5" right="0.5" top="0.75" bottom="0.35" header="0.5" footer="0.15"/>
  <pageSetup scale="65" fitToHeight="2" orientation="portrait" r:id="rId1"/>
  <headerFooter alignWithMargins="0">
    <oddHeader>&amp;C&amp;"Arial,Bold"&amp;14CLASS VII FAIRS</oddHeader>
    <oddFooter xml:space="preserve">&amp;CFairs and Expositions&amp;R
</oddFooter>
  </headerFooter>
  <rowBreaks count="1" manualBreakCount="1">
    <brk id="77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N2152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3" width="12.7109375" style="65" customWidth="1"/>
    <col min="4" max="7" width="12.7109375" style="10" customWidth="1"/>
    <col min="8" max="8" width="12.7109375" style="44" customWidth="1"/>
    <col min="9" max="9" width="12.7109375" style="10" customWidth="1"/>
    <col min="10" max="13" width="12.7109375" style="44" customWidth="1"/>
    <col min="14" max="14" width="12.7109375" style="10" customWidth="1"/>
    <col min="15" max="16384" width="9.140625" style="10"/>
  </cols>
  <sheetData>
    <row r="1" spans="1:14" ht="12" customHeight="1">
      <c r="A1" s="266"/>
      <c r="B1" s="267"/>
      <c r="C1" s="211"/>
      <c r="D1" s="211"/>
      <c r="E1" s="211"/>
      <c r="F1" s="211"/>
      <c r="G1" s="211"/>
      <c r="H1" s="211"/>
      <c r="I1" s="211"/>
      <c r="J1" s="212"/>
      <c r="K1" s="212"/>
      <c r="L1" s="211"/>
      <c r="M1" s="211"/>
      <c r="N1" s="211"/>
    </row>
    <row r="2" spans="1:14" ht="12" customHeight="1">
      <c r="A2" s="268"/>
      <c r="B2" s="269"/>
      <c r="C2" s="272" t="s">
        <v>29</v>
      </c>
      <c r="D2" s="272" t="s">
        <v>30</v>
      </c>
      <c r="E2" s="272" t="s">
        <v>31</v>
      </c>
      <c r="F2" s="272" t="s">
        <v>32</v>
      </c>
      <c r="G2" s="272" t="s">
        <v>33</v>
      </c>
      <c r="H2" s="272" t="s">
        <v>34</v>
      </c>
      <c r="I2" s="272" t="s">
        <v>35</v>
      </c>
      <c r="J2" s="272" t="s">
        <v>197</v>
      </c>
      <c r="K2" s="272" t="s">
        <v>36</v>
      </c>
      <c r="L2" s="272" t="s">
        <v>37</v>
      </c>
      <c r="M2" s="272" t="s">
        <v>214</v>
      </c>
      <c r="N2" s="272" t="s">
        <v>38</v>
      </c>
    </row>
    <row r="3" spans="1:14" ht="69" customHeight="1">
      <c r="A3" s="270"/>
      <c r="B3" s="271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</row>
    <row r="4" spans="1:14" ht="12.95" customHeight="1">
      <c r="A4" s="213" t="s">
        <v>218</v>
      </c>
      <c r="B4" s="11"/>
      <c r="C4" s="12"/>
      <c r="D4" s="13"/>
      <c r="E4" s="13"/>
      <c r="F4" s="13"/>
      <c r="G4" s="13"/>
      <c r="H4" s="14"/>
      <c r="I4" s="13"/>
      <c r="J4" s="14"/>
      <c r="K4" s="14"/>
      <c r="L4" s="14"/>
      <c r="M4" s="14"/>
      <c r="N4" s="13"/>
    </row>
    <row r="5" spans="1:14" ht="13.5" customHeight="1">
      <c r="A5" s="213"/>
      <c r="B5" s="11" t="s">
        <v>39</v>
      </c>
      <c r="C5" s="244">
        <v>173612</v>
      </c>
      <c r="D5" s="239">
        <v>234802</v>
      </c>
      <c r="E5" s="239">
        <v>28233</v>
      </c>
      <c r="F5" s="239">
        <v>-1022994</v>
      </c>
      <c r="G5" s="239">
        <v>-325492.43</v>
      </c>
      <c r="H5" s="239">
        <v>113864</v>
      </c>
      <c r="I5" s="239">
        <v>66942</v>
      </c>
      <c r="J5" s="239">
        <v>36964</v>
      </c>
      <c r="K5" s="239">
        <v>101524</v>
      </c>
      <c r="L5" s="239">
        <v>621046</v>
      </c>
      <c r="M5" s="239">
        <v>378934</v>
      </c>
      <c r="N5" s="13">
        <v>242718</v>
      </c>
    </row>
    <row r="6" spans="1:14" ht="13.5" customHeight="1">
      <c r="A6" s="213"/>
      <c r="B6" s="11" t="s">
        <v>217</v>
      </c>
      <c r="C6" s="15">
        <v>-368828</v>
      </c>
      <c r="D6" s="16">
        <v>-160444</v>
      </c>
      <c r="E6" s="16">
        <v>-253714</v>
      </c>
      <c r="F6" s="16">
        <v>-289027</v>
      </c>
      <c r="G6" s="16">
        <v>0</v>
      </c>
      <c r="H6" s="16">
        <v>0</v>
      </c>
      <c r="I6" s="16">
        <v>-99590</v>
      </c>
      <c r="J6" s="16">
        <v>-335262</v>
      </c>
      <c r="K6" s="16">
        <v>0</v>
      </c>
      <c r="L6" s="16">
        <v>-133390</v>
      </c>
      <c r="M6" s="16">
        <v>0</v>
      </c>
      <c r="N6" s="28">
        <v>0</v>
      </c>
    </row>
    <row r="7" spans="1:14" ht="13.5" customHeight="1">
      <c r="A7" s="213"/>
      <c r="B7" s="11" t="s">
        <v>40</v>
      </c>
      <c r="C7" s="15">
        <v>0</v>
      </c>
      <c r="D7" s="16">
        <v>0</v>
      </c>
      <c r="E7" s="16">
        <v>0</v>
      </c>
      <c r="F7" s="16">
        <v>2971485</v>
      </c>
      <c r="G7" s="16">
        <v>3000000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28">
        <v>0</v>
      </c>
    </row>
    <row r="8" spans="1:14" ht="13.5" customHeight="1">
      <c r="A8" s="213"/>
      <c r="B8" s="11" t="s">
        <v>41</v>
      </c>
      <c r="C8" s="15">
        <v>785861</v>
      </c>
      <c r="D8" s="16">
        <v>1471312</v>
      </c>
      <c r="E8" s="16">
        <v>485932</v>
      </c>
      <c r="F8" s="16">
        <v>258369</v>
      </c>
      <c r="G8" s="16">
        <v>0</v>
      </c>
      <c r="H8" s="16">
        <v>8753</v>
      </c>
      <c r="I8" s="16">
        <v>1038115</v>
      </c>
      <c r="J8" s="16">
        <v>358071</v>
      </c>
      <c r="K8" s="16">
        <v>2340568</v>
      </c>
      <c r="L8" s="16">
        <v>678004</v>
      </c>
      <c r="M8" s="16">
        <v>69157</v>
      </c>
      <c r="N8" s="16">
        <v>976856</v>
      </c>
    </row>
    <row r="9" spans="1:14" ht="13.5" customHeight="1">
      <c r="A9" s="213"/>
      <c r="B9" s="11" t="s">
        <v>42</v>
      </c>
      <c r="C9" s="17">
        <v>5368</v>
      </c>
      <c r="D9" s="18">
        <v>-1912</v>
      </c>
      <c r="E9" s="18">
        <v>0</v>
      </c>
      <c r="F9" s="18">
        <v>0</v>
      </c>
      <c r="G9" s="18">
        <v>700</v>
      </c>
      <c r="H9" s="18">
        <v>0</v>
      </c>
      <c r="I9" s="18">
        <v>10689.87</v>
      </c>
      <c r="J9" s="18">
        <v>0</v>
      </c>
      <c r="K9" s="18">
        <v>0</v>
      </c>
      <c r="L9" s="18">
        <v>-8271</v>
      </c>
      <c r="M9" s="18">
        <v>0</v>
      </c>
      <c r="N9" s="18">
        <v>0</v>
      </c>
    </row>
    <row r="10" spans="1:14" s="20" customFormat="1" ht="13.5" customHeight="1" thickBot="1">
      <c r="A10" s="214"/>
      <c r="B10" s="84" t="s">
        <v>43</v>
      </c>
      <c r="C10" s="60">
        <f>SUM(C5:C9)</f>
        <v>596013</v>
      </c>
      <c r="D10" s="60">
        <f t="shared" ref="D10:N10" si="0">SUM(D5:D9)</f>
        <v>1543758</v>
      </c>
      <c r="E10" s="60">
        <f t="shared" si="0"/>
        <v>260451</v>
      </c>
      <c r="F10" s="60">
        <f t="shared" si="0"/>
        <v>1917833</v>
      </c>
      <c r="G10" s="60">
        <f t="shared" si="0"/>
        <v>2675207.5699999998</v>
      </c>
      <c r="H10" s="60">
        <f>SUM(H5:H9)</f>
        <v>122617</v>
      </c>
      <c r="I10" s="60">
        <f t="shared" si="0"/>
        <v>1016156.87</v>
      </c>
      <c r="J10" s="60">
        <f t="shared" ref="J10" si="1">SUM(J5:J9)</f>
        <v>59773</v>
      </c>
      <c r="K10" s="60">
        <f t="shared" si="0"/>
        <v>2442092</v>
      </c>
      <c r="L10" s="60">
        <f t="shared" si="0"/>
        <v>1157389</v>
      </c>
      <c r="M10" s="60">
        <f>SUM(M5:M9)</f>
        <v>448091</v>
      </c>
      <c r="N10" s="60">
        <f t="shared" si="0"/>
        <v>1219574</v>
      </c>
    </row>
    <row r="11" spans="1:14" s="20" customFormat="1" ht="13.5" customHeight="1">
      <c r="A11" s="192" t="s">
        <v>44</v>
      </c>
      <c r="B11" s="33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s="20" customFormat="1" ht="13.5" customHeight="1">
      <c r="A12" s="215"/>
      <c r="B12" s="21" t="s">
        <v>45</v>
      </c>
      <c r="C12" s="22">
        <v>50920</v>
      </c>
      <c r="D12" s="22">
        <v>50920</v>
      </c>
      <c r="E12" s="22">
        <v>50920</v>
      </c>
      <c r="F12" s="22">
        <v>42009</v>
      </c>
      <c r="G12" s="22">
        <v>50411</v>
      </c>
      <c r="H12" s="22">
        <v>0</v>
      </c>
      <c r="I12" s="22">
        <v>50920</v>
      </c>
      <c r="J12" s="22">
        <v>50920</v>
      </c>
      <c r="K12" s="22">
        <v>50920</v>
      </c>
      <c r="L12" s="22">
        <v>50920</v>
      </c>
      <c r="M12" s="22">
        <v>170920</v>
      </c>
      <c r="N12" s="22">
        <v>50920</v>
      </c>
    </row>
    <row r="13" spans="1:14" s="20" customFormat="1" ht="13.5" customHeight="1">
      <c r="A13" s="215"/>
      <c r="B13" s="21" t="s">
        <v>46</v>
      </c>
      <c r="C13" s="22">
        <v>12160</v>
      </c>
      <c r="D13" s="22">
        <v>50313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2333</v>
      </c>
      <c r="K13" s="22">
        <v>0</v>
      </c>
      <c r="L13" s="22">
        <v>0</v>
      </c>
      <c r="M13" s="22">
        <v>56339</v>
      </c>
      <c r="N13" s="22">
        <v>51672</v>
      </c>
    </row>
    <row r="14" spans="1:14" s="20" customFormat="1" ht="13.5" customHeight="1" thickBot="1">
      <c r="A14" s="216"/>
      <c r="B14" s="30" t="s">
        <v>47</v>
      </c>
      <c r="C14" s="31">
        <v>3225</v>
      </c>
      <c r="D14" s="31">
        <f>1145+12963</f>
        <v>14108</v>
      </c>
      <c r="E14" s="31">
        <f>5000+255</f>
        <v>5255</v>
      </c>
      <c r="F14" s="31">
        <v>0</v>
      </c>
      <c r="G14" s="31">
        <v>1390</v>
      </c>
      <c r="H14" s="31">
        <v>0</v>
      </c>
      <c r="I14" s="31">
        <f>49200.69+3225</f>
        <v>52425.69</v>
      </c>
      <c r="J14" s="31">
        <v>3225</v>
      </c>
      <c r="K14" s="31">
        <v>3225</v>
      </c>
      <c r="L14" s="31">
        <v>3225</v>
      </c>
      <c r="M14" s="31">
        <v>3225</v>
      </c>
      <c r="N14" s="31">
        <f>2580+80082+25000</f>
        <v>107662</v>
      </c>
    </row>
    <row r="15" spans="1:14" ht="13.5" customHeight="1">
      <c r="A15" s="217" t="s">
        <v>48</v>
      </c>
      <c r="B15" s="23"/>
      <c r="C15" s="24"/>
      <c r="D15" s="25"/>
      <c r="E15" s="25"/>
      <c r="F15" s="25"/>
      <c r="G15" s="25"/>
      <c r="H15" s="26"/>
      <c r="I15" s="25"/>
      <c r="J15" s="26"/>
      <c r="K15" s="26"/>
      <c r="L15" s="26"/>
      <c r="M15" s="26"/>
      <c r="N15" s="25"/>
    </row>
    <row r="16" spans="1:14" ht="13.5" customHeight="1">
      <c r="A16" s="218"/>
      <c r="B16" s="27" t="s">
        <v>49</v>
      </c>
      <c r="C16" s="17">
        <v>0</v>
      </c>
      <c r="D16" s="28">
        <v>80209</v>
      </c>
      <c r="E16" s="28">
        <v>8696</v>
      </c>
      <c r="F16" s="28">
        <v>0</v>
      </c>
      <c r="G16" s="28">
        <v>0</v>
      </c>
      <c r="H16" s="18">
        <v>247233</v>
      </c>
      <c r="I16" s="28">
        <v>48905.41</v>
      </c>
      <c r="J16" s="18">
        <v>60630</v>
      </c>
      <c r="K16" s="18">
        <v>77786</v>
      </c>
      <c r="L16" s="18">
        <v>96993</v>
      </c>
      <c r="M16" s="18">
        <v>59071.05</v>
      </c>
      <c r="N16" s="28">
        <v>19857</v>
      </c>
    </row>
    <row r="17" spans="1:14" ht="13.5" customHeight="1">
      <c r="A17" s="218"/>
      <c r="B17" s="27" t="s">
        <v>50</v>
      </c>
      <c r="C17" s="17">
        <v>23900</v>
      </c>
      <c r="D17" s="28">
        <v>17289</v>
      </c>
      <c r="E17" s="28">
        <v>0</v>
      </c>
      <c r="F17" s="28">
        <v>0</v>
      </c>
      <c r="G17" s="28">
        <v>0</v>
      </c>
      <c r="H17" s="18">
        <v>107662</v>
      </c>
      <c r="I17" s="28">
        <v>7850</v>
      </c>
      <c r="J17" s="18">
        <v>7940</v>
      </c>
      <c r="K17" s="18">
        <v>10285</v>
      </c>
      <c r="L17" s="18">
        <v>15790</v>
      </c>
      <c r="M17" s="18">
        <v>8000</v>
      </c>
      <c r="N17" s="28">
        <v>6354</v>
      </c>
    </row>
    <row r="18" spans="1:14" ht="13.5" customHeight="1">
      <c r="A18" s="218"/>
      <c r="B18" s="27" t="s">
        <v>51</v>
      </c>
      <c r="C18" s="17">
        <v>94596</v>
      </c>
      <c r="D18" s="28">
        <v>0</v>
      </c>
      <c r="E18" s="28">
        <v>0</v>
      </c>
      <c r="F18" s="28">
        <v>0</v>
      </c>
      <c r="G18" s="28">
        <v>0</v>
      </c>
      <c r="H18" s="18">
        <v>113487</v>
      </c>
      <c r="I18" s="28">
        <v>21626</v>
      </c>
      <c r="J18" s="18">
        <v>36898</v>
      </c>
      <c r="K18" s="18">
        <v>0</v>
      </c>
      <c r="L18" s="18">
        <v>35000</v>
      </c>
      <c r="M18" s="18">
        <v>61425</v>
      </c>
      <c r="N18" s="28">
        <v>17445</v>
      </c>
    </row>
    <row r="19" spans="1:14" ht="13.5" customHeight="1">
      <c r="A19" s="218"/>
      <c r="B19" s="27" t="s">
        <v>52</v>
      </c>
      <c r="C19" s="17">
        <v>73558</v>
      </c>
      <c r="D19" s="28">
        <v>39761</v>
      </c>
      <c r="E19" s="28">
        <v>0</v>
      </c>
      <c r="F19" s="28">
        <v>0</v>
      </c>
      <c r="G19" s="28">
        <v>0</v>
      </c>
      <c r="H19" s="18">
        <v>129065</v>
      </c>
      <c r="I19" s="28">
        <v>15824.4</v>
      </c>
      <c r="J19" s="18">
        <v>25901</v>
      </c>
      <c r="K19" s="18">
        <v>81751</v>
      </c>
      <c r="L19" s="18">
        <v>42278</v>
      </c>
      <c r="M19" s="18">
        <v>64103.76</v>
      </c>
      <c r="N19" s="28">
        <v>21531</v>
      </c>
    </row>
    <row r="20" spans="1:14" ht="13.5" customHeight="1">
      <c r="A20" s="218"/>
      <c r="B20" s="27" t="s">
        <v>53</v>
      </c>
      <c r="C20" s="17">
        <v>6538</v>
      </c>
      <c r="D20" s="28">
        <v>29361</v>
      </c>
      <c r="E20" s="28">
        <v>0</v>
      </c>
      <c r="F20" s="28">
        <v>0</v>
      </c>
      <c r="G20" s="28">
        <v>0</v>
      </c>
      <c r="H20" s="18">
        <v>70287</v>
      </c>
      <c r="I20" s="28">
        <v>0</v>
      </c>
      <c r="J20" s="18">
        <v>1025</v>
      </c>
      <c r="K20" s="18">
        <v>29415</v>
      </c>
      <c r="L20" s="18">
        <v>11640</v>
      </c>
      <c r="M20" s="18">
        <v>9942</v>
      </c>
      <c r="N20" s="28">
        <v>13580</v>
      </c>
    </row>
    <row r="21" spans="1:14" ht="13.5" customHeight="1">
      <c r="A21" s="218"/>
      <c r="B21" s="27" t="s">
        <v>54</v>
      </c>
      <c r="C21" s="17">
        <v>0</v>
      </c>
      <c r="D21" s="28">
        <v>64505</v>
      </c>
      <c r="E21" s="28">
        <v>310</v>
      </c>
      <c r="F21" s="28">
        <v>0</v>
      </c>
      <c r="G21" s="28">
        <v>0</v>
      </c>
      <c r="H21" s="18">
        <v>6670</v>
      </c>
      <c r="I21" s="28">
        <v>425</v>
      </c>
      <c r="J21" s="18">
        <v>0</v>
      </c>
      <c r="K21" s="18">
        <v>0</v>
      </c>
      <c r="L21" s="18">
        <v>0</v>
      </c>
      <c r="M21" s="18">
        <v>0</v>
      </c>
      <c r="N21" s="28">
        <v>900</v>
      </c>
    </row>
    <row r="22" spans="1:14" ht="13.5" customHeight="1">
      <c r="A22" s="218"/>
      <c r="B22" s="27" t="s">
        <v>55</v>
      </c>
      <c r="C22" s="17">
        <v>0</v>
      </c>
      <c r="D22" s="28">
        <v>0</v>
      </c>
      <c r="E22" s="28">
        <v>0</v>
      </c>
      <c r="F22" s="28">
        <v>0</v>
      </c>
      <c r="G22" s="28">
        <v>0</v>
      </c>
      <c r="H22" s="18">
        <v>0</v>
      </c>
      <c r="I22" s="28">
        <v>0</v>
      </c>
      <c r="J22" s="18">
        <v>0</v>
      </c>
      <c r="K22" s="18">
        <v>0</v>
      </c>
      <c r="L22" s="18">
        <v>0</v>
      </c>
      <c r="M22" s="18">
        <v>0</v>
      </c>
      <c r="N22" s="28">
        <v>0</v>
      </c>
    </row>
    <row r="23" spans="1:14" ht="13.5" customHeight="1">
      <c r="A23" s="218"/>
      <c r="B23" s="27" t="s">
        <v>56</v>
      </c>
      <c r="C23" s="17">
        <v>0</v>
      </c>
      <c r="D23" s="28">
        <v>0</v>
      </c>
      <c r="E23" s="28">
        <v>0</v>
      </c>
      <c r="F23" s="28">
        <v>0</v>
      </c>
      <c r="G23" s="28">
        <v>0</v>
      </c>
      <c r="H23" s="18">
        <v>0</v>
      </c>
      <c r="I23" s="28">
        <v>0</v>
      </c>
      <c r="J23" s="18">
        <v>0</v>
      </c>
      <c r="K23" s="18">
        <v>0</v>
      </c>
      <c r="L23" s="18">
        <v>0</v>
      </c>
      <c r="M23" s="18">
        <v>0</v>
      </c>
      <c r="N23" s="28">
        <v>0</v>
      </c>
    </row>
    <row r="24" spans="1:14" ht="13.5" customHeight="1">
      <c r="A24" s="218"/>
      <c r="B24" s="27" t="s">
        <v>57</v>
      </c>
      <c r="C24" s="17">
        <v>15604</v>
      </c>
      <c r="D24" s="28">
        <v>27854</v>
      </c>
      <c r="E24" s="28">
        <v>0</v>
      </c>
      <c r="F24" s="28">
        <v>0</v>
      </c>
      <c r="G24" s="28">
        <v>0</v>
      </c>
      <c r="H24" s="18">
        <v>37774</v>
      </c>
      <c r="I24" s="28">
        <v>0</v>
      </c>
      <c r="J24" s="18">
        <v>0</v>
      </c>
      <c r="K24" s="18">
        <v>7604</v>
      </c>
      <c r="L24" s="18">
        <v>0</v>
      </c>
      <c r="M24" s="18">
        <v>52098</v>
      </c>
      <c r="N24" s="28">
        <v>24815</v>
      </c>
    </row>
    <row r="25" spans="1:14" ht="13.5" customHeight="1">
      <c r="A25" s="218"/>
      <c r="B25" s="27" t="s">
        <v>58</v>
      </c>
      <c r="C25" s="17">
        <v>0</v>
      </c>
      <c r="D25" s="28">
        <v>0</v>
      </c>
      <c r="E25" s="28">
        <v>0</v>
      </c>
      <c r="F25" s="28">
        <v>0</v>
      </c>
      <c r="G25" s="28">
        <v>0</v>
      </c>
      <c r="H25" s="18">
        <v>0</v>
      </c>
      <c r="I25" s="28">
        <v>0</v>
      </c>
      <c r="J25" s="18">
        <v>0</v>
      </c>
      <c r="K25" s="18">
        <v>0</v>
      </c>
      <c r="L25" s="18">
        <v>0</v>
      </c>
      <c r="M25" s="18">
        <v>0</v>
      </c>
      <c r="N25" s="28">
        <v>6594</v>
      </c>
    </row>
    <row r="26" spans="1:14" ht="13.5" customHeight="1">
      <c r="A26" s="218"/>
      <c r="B26" s="27" t="s">
        <v>59</v>
      </c>
      <c r="C26" s="17">
        <v>0</v>
      </c>
      <c r="D26" s="28">
        <v>0</v>
      </c>
      <c r="E26" s="28">
        <v>0</v>
      </c>
      <c r="F26" s="28">
        <v>0</v>
      </c>
      <c r="G26" s="28">
        <v>0</v>
      </c>
      <c r="H26" s="18">
        <v>0</v>
      </c>
      <c r="I26" s="28">
        <v>0</v>
      </c>
      <c r="J26" s="18">
        <v>0</v>
      </c>
      <c r="K26" s="18">
        <v>0</v>
      </c>
      <c r="L26" s="18">
        <v>0</v>
      </c>
      <c r="M26" s="18">
        <v>0</v>
      </c>
      <c r="N26" s="28">
        <v>14712</v>
      </c>
    </row>
    <row r="27" spans="1:14" ht="13.5" customHeight="1">
      <c r="A27" s="218"/>
      <c r="B27" s="27" t="s">
        <v>60</v>
      </c>
      <c r="C27" s="17">
        <v>37523</v>
      </c>
      <c r="D27" s="28">
        <v>129394</v>
      </c>
      <c r="E27" s="28">
        <v>45619</v>
      </c>
      <c r="F27" s="28">
        <v>0</v>
      </c>
      <c r="G27" s="28">
        <v>0</v>
      </c>
      <c r="H27" s="18">
        <v>69476</v>
      </c>
      <c r="I27" s="28">
        <v>290517.16000000003</v>
      </c>
      <c r="J27" s="18">
        <v>82425</v>
      </c>
      <c r="K27" s="18">
        <v>67460</v>
      </c>
      <c r="L27" s="18">
        <v>51076</v>
      </c>
      <c r="M27" s="18">
        <v>29470.400000000001</v>
      </c>
      <c r="N27" s="28">
        <v>17519</v>
      </c>
    </row>
    <row r="28" spans="1:14" ht="13.5" customHeight="1">
      <c r="A28" s="218"/>
      <c r="B28" s="27" t="s">
        <v>61</v>
      </c>
      <c r="C28" s="17">
        <v>61663</v>
      </c>
      <c r="D28" s="28">
        <v>0</v>
      </c>
      <c r="E28" s="28">
        <v>0</v>
      </c>
      <c r="F28" s="28">
        <v>0</v>
      </c>
      <c r="G28" s="28">
        <v>0</v>
      </c>
      <c r="H28" s="18">
        <v>0</v>
      </c>
      <c r="I28" s="28">
        <v>25406</v>
      </c>
      <c r="J28" s="18">
        <v>0</v>
      </c>
      <c r="K28" s="18">
        <v>64745</v>
      </c>
      <c r="L28" s="18">
        <v>80026</v>
      </c>
      <c r="M28" s="18">
        <v>81279.97</v>
      </c>
      <c r="N28" s="28">
        <v>31401</v>
      </c>
    </row>
    <row r="29" spans="1:14" ht="13.5" customHeight="1">
      <c r="A29" s="218"/>
      <c r="B29" s="27" t="s">
        <v>62</v>
      </c>
      <c r="C29" s="17">
        <v>173765</v>
      </c>
      <c r="D29" s="28">
        <v>392586</v>
      </c>
      <c r="E29" s="28">
        <v>15427</v>
      </c>
      <c r="F29" s="28">
        <v>0</v>
      </c>
      <c r="G29" s="28">
        <v>0</v>
      </c>
      <c r="H29" s="18">
        <v>3550</v>
      </c>
      <c r="I29" s="28">
        <v>60.45</v>
      </c>
      <c r="J29" s="18">
        <v>66042</v>
      </c>
      <c r="K29" s="18">
        <v>114594</v>
      </c>
      <c r="L29" s="18">
        <v>112556</v>
      </c>
      <c r="M29" s="18">
        <v>81113.53</v>
      </c>
      <c r="N29" s="28">
        <v>92453</v>
      </c>
    </row>
    <row r="30" spans="1:14" ht="13.5" customHeight="1">
      <c r="A30" s="218"/>
      <c r="B30" s="27" t="s">
        <v>63</v>
      </c>
      <c r="C30" s="17">
        <v>0</v>
      </c>
      <c r="D30" s="28">
        <v>1823</v>
      </c>
      <c r="E30" s="28">
        <v>256</v>
      </c>
      <c r="F30" s="28">
        <v>160</v>
      </c>
      <c r="G30" s="28">
        <v>0</v>
      </c>
      <c r="H30" s="18">
        <v>0</v>
      </c>
      <c r="I30" s="28">
        <v>655</v>
      </c>
      <c r="J30" s="18">
        <v>-1950</v>
      </c>
      <c r="K30" s="18">
        <v>0</v>
      </c>
      <c r="L30" s="18">
        <v>0</v>
      </c>
      <c r="M30" s="18">
        <v>1896.25</v>
      </c>
      <c r="N30" s="28">
        <v>0</v>
      </c>
    </row>
    <row r="31" spans="1:14" ht="13.5" customHeight="1">
      <c r="A31" s="218"/>
      <c r="B31" s="27" t="s">
        <v>64</v>
      </c>
      <c r="C31" s="15">
        <v>27808</v>
      </c>
      <c r="D31" s="29">
        <v>27049</v>
      </c>
      <c r="E31" s="29">
        <v>7351</v>
      </c>
      <c r="F31" s="29">
        <v>22964</v>
      </c>
      <c r="G31" s="29">
        <v>26509</v>
      </c>
      <c r="H31" s="16">
        <v>5549</v>
      </c>
      <c r="I31" s="29">
        <v>16545.8</v>
      </c>
      <c r="J31" s="16">
        <v>20444</v>
      </c>
      <c r="K31" s="16">
        <v>1243</v>
      </c>
      <c r="L31" s="16">
        <v>1277</v>
      </c>
      <c r="M31" s="16">
        <v>913.76</v>
      </c>
      <c r="N31" s="29">
        <v>18346</v>
      </c>
    </row>
    <row r="32" spans="1:14" s="20" customFormat="1" ht="13.5" customHeight="1" thickBot="1">
      <c r="A32" s="214" t="s">
        <v>65</v>
      </c>
      <c r="B32" s="30"/>
      <c r="C32" s="31">
        <f>SUM(C16:C31)</f>
        <v>514955</v>
      </c>
      <c r="D32" s="31">
        <f>SUM(D16:D31)</f>
        <v>809831</v>
      </c>
      <c r="E32" s="31">
        <f>SUM(E16:E31)</f>
        <v>77659</v>
      </c>
      <c r="F32" s="31">
        <f>SUM(F16:F31)</f>
        <v>23124</v>
      </c>
      <c r="G32" s="31">
        <f t="shared" ref="G32:N32" si="2">SUM(G16:G31)</f>
        <v>26509</v>
      </c>
      <c r="H32" s="31">
        <f t="shared" si="2"/>
        <v>790753</v>
      </c>
      <c r="I32" s="31">
        <f t="shared" si="2"/>
        <v>427815.22000000003</v>
      </c>
      <c r="J32" s="31">
        <f t="shared" si="2"/>
        <v>299355</v>
      </c>
      <c r="K32" s="31">
        <f t="shared" si="2"/>
        <v>454883</v>
      </c>
      <c r="L32" s="31">
        <f t="shared" si="2"/>
        <v>446636</v>
      </c>
      <c r="M32" s="31">
        <f t="shared" si="2"/>
        <v>449313.72000000009</v>
      </c>
      <c r="N32" s="31">
        <f t="shared" si="2"/>
        <v>285507</v>
      </c>
    </row>
    <row r="33" spans="1:14" ht="13.5" customHeight="1">
      <c r="A33" s="217" t="s">
        <v>66</v>
      </c>
      <c r="B33" s="23"/>
      <c r="C33" s="24"/>
      <c r="D33" s="25"/>
      <c r="E33" s="25"/>
      <c r="F33" s="25"/>
      <c r="G33" s="25"/>
      <c r="H33" s="26"/>
      <c r="I33" s="25"/>
      <c r="J33" s="26"/>
      <c r="K33" s="26"/>
      <c r="L33" s="26"/>
      <c r="M33" s="26"/>
      <c r="N33" s="25"/>
    </row>
    <row r="34" spans="1:14" ht="13.5" customHeight="1">
      <c r="A34" s="218"/>
      <c r="B34" s="27" t="s">
        <v>67</v>
      </c>
      <c r="C34" s="17">
        <v>146134</v>
      </c>
      <c r="D34" s="28">
        <v>233891</v>
      </c>
      <c r="E34" s="28">
        <v>52038</v>
      </c>
      <c r="F34" s="28">
        <v>188177</v>
      </c>
      <c r="G34" s="28">
        <v>86340</v>
      </c>
      <c r="H34" s="18">
        <v>257893</v>
      </c>
      <c r="I34" s="28">
        <v>148886.54</v>
      </c>
      <c r="J34" s="18">
        <v>127940</v>
      </c>
      <c r="K34" s="18">
        <v>237524</v>
      </c>
      <c r="L34" s="18">
        <v>130177</v>
      </c>
      <c r="M34" s="18">
        <v>147175.41</v>
      </c>
      <c r="N34" s="28">
        <v>223800</v>
      </c>
    </row>
    <row r="35" spans="1:14" ht="13.5" customHeight="1">
      <c r="A35" s="218"/>
      <c r="B35" s="27" t="s">
        <v>68</v>
      </c>
      <c r="C35" s="17">
        <v>258919</v>
      </c>
      <c r="D35" s="28">
        <v>248896</v>
      </c>
      <c r="E35" s="28">
        <v>24088</v>
      </c>
      <c r="F35" s="28">
        <v>9070</v>
      </c>
      <c r="G35" s="28">
        <v>0</v>
      </c>
      <c r="H35" s="18">
        <v>8665</v>
      </c>
      <c r="I35" s="28">
        <v>174678.82</v>
      </c>
      <c r="J35" s="18">
        <v>117312</v>
      </c>
      <c r="K35" s="18">
        <v>126983</v>
      </c>
      <c r="L35" s="18">
        <v>155230</v>
      </c>
      <c r="M35" s="18">
        <v>174501.66</v>
      </c>
      <c r="N35" s="28">
        <v>242833</v>
      </c>
    </row>
    <row r="36" spans="1:14" ht="13.5" customHeight="1">
      <c r="A36" s="218"/>
      <c r="B36" s="27" t="s">
        <v>69</v>
      </c>
      <c r="C36" s="17">
        <v>25949</v>
      </c>
      <c r="D36" s="28">
        <v>57036</v>
      </c>
      <c r="E36" s="28">
        <v>100</v>
      </c>
      <c r="F36" s="28">
        <v>3066</v>
      </c>
      <c r="G36" s="28">
        <v>0</v>
      </c>
      <c r="H36" s="18">
        <v>111893</v>
      </c>
      <c r="I36" s="28">
        <v>22841</v>
      </c>
      <c r="J36" s="18">
        <v>3463</v>
      </c>
      <c r="K36" s="18">
        <v>17549</v>
      </c>
      <c r="L36" s="18">
        <v>16919</v>
      </c>
      <c r="M36" s="18">
        <v>8107.57</v>
      </c>
      <c r="N36" s="28">
        <v>12735</v>
      </c>
    </row>
    <row r="37" spans="1:14" ht="13.5" customHeight="1">
      <c r="A37" s="218"/>
      <c r="B37" s="27" t="s">
        <v>70</v>
      </c>
      <c r="C37" s="17">
        <v>12690</v>
      </c>
      <c r="D37" s="28">
        <v>35939</v>
      </c>
      <c r="E37" s="28">
        <v>0</v>
      </c>
      <c r="F37" s="28">
        <v>0</v>
      </c>
      <c r="G37" s="28">
        <v>0</v>
      </c>
      <c r="H37" s="18">
        <v>283</v>
      </c>
      <c r="I37" s="28">
        <v>0</v>
      </c>
      <c r="J37" s="18">
        <v>7924</v>
      </c>
      <c r="K37" s="18">
        <v>17820</v>
      </c>
      <c r="L37" s="18">
        <v>13342</v>
      </c>
      <c r="M37" s="18">
        <v>0</v>
      </c>
      <c r="N37" s="28">
        <v>23209</v>
      </c>
    </row>
    <row r="38" spans="1:14" ht="13.5" customHeight="1">
      <c r="A38" s="218"/>
      <c r="B38" s="27" t="s">
        <v>60</v>
      </c>
      <c r="C38" s="17">
        <v>6046</v>
      </c>
      <c r="D38" s="28">
        <v>13607</v>
      </c>
      <c r="E38" s="28">
        <v>0</v>
      </c>
      <c r="F38" s="28">
        <v>289</v>
      </c>
      <c r="G38" s="28">
        <v>0</v>
      </c>
      <c r="H38" s="18">
        <v>20914</v>
      </c>
      <c r="I38" s="28">
        <v>0</v>
      </c>
      <c r="J38" s="18">
        <v>10640</v>
      </c>
      <c r="K38" s="18">
        <v>22595</v>
      </c>
      <c r="L38" s="18">
        <v>26079</v>
      </c>
      <c r="M38" s="18">
        <v>34188.78</v>
      </c>
      <c r="N38" s="28">
        <v>6015</v>
      </c>
    </row>
    <row r="39" spans="1:14" ht="13.5" customHeight="1">
      <c r="A39" s="218"/>
      <c r="B39" s="27" t="s">
        <v>71</v>
      </c>
      <c r="C39" s="17">
        <v>21877</v>
      </c>
      <c r="D39" s="28">
        <v>0</v>
      </c>
      <c r="E39" s="28">
        <v>0</v>
      </c>
      <c r="F39" s="28">
        <v>1015</v>
      </c>
      <c r="G39" s="28">
        <v>0</v>
      </c>
      <c r="H39" s="18">
        <v>0</v>
      </c>
      <c r="I39" s="28">
        <v>5933</v>
      </c>
      <c r="J39" s="18">
        <v>7519</v>
      </c>
      <c r="K39" s="18">
        <v>34634</v>
      </c>
      <c r="L39" s="18">
        <v>37372</v>
      </c>
      <c r="M39" s="18">
        <v>46009.15</v>
      </c>
      <c r="N39" s="28">
        <v>8431</v>
      </c>
    </row>
    <row r="40" spans="1:14" ht="13.5" customHeight="1">
      <c r="A40" s="218"/>
      <c r="B40" s="27" t="s">
        <v>72</v>
      </c>
      <c r="C40" s="17">
        <v>29605</v>
      </c>
      <c r="D40" s="28">
        <v>21469</v>
      </c>
      <c r="E40" s="28">
        <v>0</v>
      </c>
      <c r="F40" s="28">
        <v>17221</v>
      </c>
      <c r="G40" s="28">
        <v>0</v>
      </c>
      <c r="H40" s="18">
        <v>20</v>
      </c>
      <c r="I40" s="28">
        <v>1298</v>
      </c>
      <c r="J40" s="18">
        <v>3840</v>
      </c>
      <c r="K40" s="18">
        <v>13193</v>
      </c>
      <c r="L40" s="18">
        <v>39958</v>
      </c>
      <c r="M40" s="18">
        <v>17647.78</v>
      </c>
      <c r="N40" s="28">
        <v>10801</v>
      </c>
    </row>
    <row r="41" spans="1:14" ht="13.5" customHeight="1">
      <c r="A41" s="218"/>
      <c r="B41" s="27" t="s">
        <v>53</v>
      </c>
      <c r="C41" s="17">
        <v>20832</v>
      </c>
      <c r="D41" s="28">
        <v>27247</v>
      </c>
      <c r="E41" s="28">
        <v>0</v>
      </c>
      <c r="F41" s="28">
        <v>55442</v>
      </c>
      <c r="G41" s="28">
        <v>93</v>
      </c>
      <c r="H41" s="18">
        <v>52512</v>
      </c>
      <c r="I41" s="28">
        <v>250</v>
      </c>
      <c r="J41" s="18">
        <v>7876</v>
      </c>
      <c r="K41" s="18">
        <v>9586</v>
      </c>
      <c r="L41" s="18">
        <v>32400</v>
      </c>
      <c r="M41" s="18">
        <v>11357.25</v>
      </c>
      <c r="N41" s="28">
        <v>48872</v>
      </c>
    </row>
    <row r="42" spans="1:14" ht="13.5" customHeight="1">
      <c r="A42" s="218"/>
      <c r="B42" s="27" t="s">
        <v>54</v>
      </c>
      <c r="C42" s="17">
        <v>0</v>
      </c>
      <c r="D42" s="28">
        <v>29047</v>
      </c>
      <c r="E42" s="28">
        <v>0</v>
      </c>
      <c r="F42" s="28">
        <v>0</v>
      </c>
      <c r="G42" s="28">
        <v>0</v>
      </c>
      <c r="H42" s="18">
        <v>1466</v>
      </c>
      <c r="I42" s="28">
        <v>0</v>
      </c>
      <c r="J42" s="18">
        <v>0</v>
      </c>
      <c r="K42" s="18">
        <v>0</v>
      </c>
      <c r="L42" s="18">
        <v>360</v>
      </c>
      <c r="M42" s="18">
        <v>0</v>
      </c>
      <c r="N42" s="28">
        <v>807</v>
      </c>
    </row>
    <row r="43" spans="1:14" ht="13.5" customHeight="1">
      <c r="A43" s="218"/>
      <c r="B43" s="27" t="s">
        <v>55</v>
      </c>
      <c r="C43" s="17">
        <v>0</v>
      </c>
      <c r="D43" s="28">
        <v>0</v>
      </c>
      <c r="E43" s="28">
        <v>0</v>
      </c>
      <c r="F43" s="28">
        <v>0</v>
      </c>
      <c r="G43" s="28">
        <v>0</v>
      </c>
      <c r="H43" s="18">
        <v>0</v>
      </c>
      <c r="I43" s="28">
        <v>0</v>
      </c>
      <c r="J43" s="18">
        <v>0</v>
      </c>
      <c r="K43" s="18">
        <v>0</v>
      </c>
      <c r="L43" s="18">
        <v>0</v>
      </c>
      <c r="M43" s="18">
        <v>0</v>
      </c>
      <c r="N43" s="28">
        <v>0</v>
      </c>
    </row>
    <row r="44" spans="1:14" ht="13.5" customHeight="1">
      <c r="A44" s="218"/>
      <c r="B44" s="27" t="s">
        <v>56</v>
      </c>
      <c r="C44" s="17">
        <v>0</v>
      </c>
      <c r="D44" s="28">
        <v>0</v>
      </c>
      <c r="E44" s="28">
        <v>0</v>
      </c>
      <c r="F44" s="28">
        <v>0</v>
      </c>
      <c r="G44" s="28">
        <v>0</v>
      </c>
      <c r="H44" s="18">
        <v>0</v>
      </c>
      <c r="I44" s="28">
        <v>0</v>
      </c>
      <c r="J44" s="18">
        <v>0</v>
      </c>
      <c r="K44" s="18">
        <v>0</v>
      </c>
      <c r="L44" s="18">
        <v>0</v>
      </c>
      <c r="M44" s="18">
        <v>0</v>
      </c>
      <c r="N44" s="28">
        <v>0</v>
      </c>
    </row>
    <row r="45" spans="1:14" ht="13.5" customHeight="1">
      <c r="A45" s="218"/>
      <c r="B45" s="27" t="s">
        <v>73</v>
      </c>
      <c r="C45" s="17">
        <v>72778</v>
      </c>
      <c r="D45" s="28">
        <v>66426</v>
      </c>
      <c r="E45" s="28">
        <v>0</v>
      </c>
      <c r="F45" s="28">
        <v>11504</v>
      </c>
      <c r="G45" s="28">
        <v>0</v>
      </c>
      <c r="H45" s="18">
        <v>276725</v>
      </c>
      <c r="I45" s="28">
        <v>32399.05</v>
      </c>
      <c r="J45" s="18">
        <v>19969</v>
      </c>
      <c r="K45" s="18">
        <v>93669</v>
      </c>
      <c r="L45" s="18">
        <v>43281</v>
      </c>
      <c r="M45" s="18">
        <v>77239.240000000005</v>
      </c>
      <c r="N45" s="28">
        <v>29865</v>
      </c>
    </row>
    <row r="46" spans="1:14" ht="13.5" customHeight="1">
      <c r="A46" s="218"/>
      <c r="B46" s="27" t="s">
        <v>58</v>
      </c>
      <c r="C46" s="17">
        <v>0</v>
      </c>
      <c r="D46" s="28">
        <v>0</v>
      </c>
      <c r="E46" s="28">
        <v>0</v>
      </c>
      <c r="F46" s="28">
        <v>0</v>
      </c>
      <c r="G46" s="28">
        <v>0</v>
      </c>
      <c r="H46" s="18">
        <v>0</v>
      </c>
      <c r="I46" s="28">
        <v>9900</v>
      </c>
      <c r="J46" s="18">
        <v>0</v>
      </c>
      <c r="K46" s="18">
        <v>0</v>
      </c>
      <c r="L46" s="18">
        <v>0</v>
      </c>
      <c r="M46" s="18">
        <v>0</v>
      </c>
      <c r="N46" s="28">
        <v>0</v>
      </c>
    </row>
    <row r="47" spans="1:14" ht="13.5" customHeight="1">
      <c r="A47" s="218"/>
      <c r="B47" s="27" t="s">
        <v>74</v>
      </c>
      <c r="C47" s="17">
        <v>0</v>
      </c>
      <c r="D47" s="28">
        <v>21989</v>
      </c>
      <c r="E47" s="28">
        <v>0</v>
      </c>
      <c r="F47" s="28">
        <v>0</v>
      </c>
      <c r="G47" s="28">
        <v>0</v>
      </c>
      <c r="H47" s="18">
        <v>0</v>
      </c>
      <c r="I47" s="28">
        <v>0</v>
      </c>
      <c r="J47" s="18">
        <v>0</v>
      </c>
      <c r="K47" s="18">
        <v>0</v>
      </c>
      <c r="L47" s="18">
        <v>0</v>
      </c>
      <c r="M47" s="18">
        <v>0</v>
      </c>
      <c r="N47" s="28">
        <v>20822</v>
      </c>
    </row>
    <row r="48" spans="1:14" ht="13.5" customHeight="1">
      <c r="A48" s="218"/>
      <c r="B48" s="27" t="s">
        <v>75</v>
      </c>
      <c r="C48" s="17">
        <v>0</v>
      </c>
      <c r="D48" s="28">
        <v>8556</v>
      </c>
      <c r="E48" s="28">
        <v>0</v>
      </c>
      <c r="F48" s="28">
        <v>0</v>
      </c>
      <c r="G48" s="28">
        <v>0</v>
      </c>
      <c r="H48" s="18">
        <v>42471</v>
      </c>
      <c r="I48" s="28">
        <v>0</v>
      </c>
      <c r="J48" s="18">
        <v>0</v>
      </c>
      <c r="K48" s="18">
        <v>33348</v>
      </c>
      <c r="L48" s="18">
        <v>0</v>
      </c>
      <c r="M48" s="18">
        <v>340.72</v>
      </c>
      <c r="N48" s="28">
        <v>7381</v>
      </c>
    </row>
    <row r="49" spans="1:14" ht="13.5" customHeight="1">
      <c r="A49" s="218"/>
      <c r="B49" s="27" t="s">
        <v>76</v>
      </c>
      <c r="C49" s="17">
        <v>0</v>
      </c>
      <c r="D49" s="28">
        <v>5235</v>
      </c>
      <c r="E49" s="17">
        <v>0</v>
      </c>
      <c r="F49" s="28">
        <v>10</v>
      </c>
      <c r="G49" s="28">
        <v>0</v>
      </c>
      <c r="H49" s="18">
        <v>7941</v>
      </c>
      <c r="I49" s="28">
        <v>0</v>
      </c>
      <c r="J49" s="18">
        <v>-340</v>
      </c>
      <c r="K49" s="18">
        <v>4922</v>
      </c>
      <c r="L49" s="18">
        <v>0</v>
      </c>
      <c r="M49" s="18">
        <v>242.25</v>
      </c>
      <c r="N49" s="28">
        <v>-83243</v>
      </c>
    </row>
    <row r="50" spans="1:14" ht="13.5" customHeight="1">
      <c r="A50" s="218"/>
      <c r="B50" s="27" t="s">
        <v>77</v>
      </c>
      <c r="C50" s="17">
        <v>214</v>
      </c>
      <c r="D50" s="28">
        <v>100</v>
      </c>
      <c r="E50" s="28">
        <v>0</v>
      </c>
      <c r="F50" s="28">
        <v>0</v>
      </c>
      <c r="G50" s="28">
        <v>0</v>
      </c>
      <c r="H50" s="18">
        <v>0</v>
      </c>
      <c r="I50" s="28">
        <v>0</v>
      </c>
      <c r="J50" s="18">
        <v>119</v>
      </c>
      <c r="K50" s="18">
        <v>24</v>
      </c>
      <c r="L50" s="18">
        <v>0</v>
      </c>
      <c r="M50" s="18">
        <v>0</v>
      </c>
      <c r="N50" s="28">
        <v>95</v>
      </c>
    </row>
    <row r="51" spans="1:14" ht="13.5" customHeight="1">
      <c r="A51" s="218"/>
      <c r="B51" s="27" t="s">
        <v>78</v>
      </c>
      <c r="C51" s="17">
        <v>8679</v>
      </c>
      <c r="D51" s="28">
        <v>13430</v>
      </c>
      <c r="E51" s="28">
        <v>0</v>
      </c>
      <c r="F51" s="28">
        <v>0</v>
      </c>
      <c r="G51" s="28">
        <v>0</v>
      </c>
      <c r="H51" s="18">
        <v>0</v>
      </c>
      <c r="I51" s="28">
        <v>-119.18</v>
      </c>
      <c r="J51" s="18">
        <v>0</v>
      </c>
      <c r="K51" s="18">
        <v>0</v>
      </c>
      <c r="L51" s="18">
        <v>0</v>
      </c>
      <c r="M51" s="18">
        <v>0</v>
      </c>
      <c r="N51" s="28">
        <v>0</v>
      </c>
    </row>
    <row r="52" spans="1:14" s="20" customFormat="1" ht="13.5" customHeight="1" thickBot="1">
      <c r="A52" s="214" t="s">
        <v>79</v>
      </c>
      <c r="B52" s="30"/>
      <c r="C52" s="32">
        <f t="shared" ref="C52:L52" si="3">SUM(C34:C51)</f>
        <v>603723</v>
      </c>
      <c r="D52" s="32">
        <f t="shared" si="3"/>
        <v>782868</v>
      </c>
      <c r="E52" s="32">
        <f t="shared" si="3"/>
        <v>76226</v>
      </c>
      <c r="F52" s="32">
        <f t="shared" si="3"/>
        <v>285794</v>
      </c>
      <c r="G52" s="32">
        <f t="shared" si="3"/>
        <v>86433</v>
      </c>
      <c r="H52" s="32">
        <f t="shared" si="3"/>
        <v>780783</v>
      </c>
      <c r="I52" s="32">
        <f t="shared" si="3"/>
        <v>396067.23</v>
      </c>
      <c r="J52" s="32">
        <f t="shared" si="3"/>
        <v>306262</v>
      </c>
      <c r="K52" s="32">
        <f t="shared" si="3"/>
        <v>611847</v>
      </c>
      <c r="L52" s="32">
        <f t="shared" si="3"/>
        <v>495118</v>
      </c>
      <c r="M52" s="32">
        <f>SUM(M34:M51)</f>
        <v>516809.81000000006</v>
      </c>
      <c r="N52" s="32">
        <f>SUM(N34:N51)</f>
        <v>552423</v>
      </c>
    </row>
    <row r="53" spans="1:14" ht="13.5" customHeight="1">
      <c r="A53" s="217" t="s">
        <v>80</v>
      </c>
      <c r="B53" s="23"/>
      <c r="C53" s="15"/>
      <c r="D53" s="29"/>
      <c r="E53" s="29"/>
      <c r="F53" s="29"/>
      <c r="G53" s="29"/>
      <c r="H53" s="16"/>
      <c r="I53" s="29"/>
      <c r="J53" s="16"/>
      <c r="K53" s="16"/>
      <c r="L53" s="16"/>
      <c r="M53" s="16"/>
      <c r="N53" s="29"/>
    </row>
    <row r="54" spans="1:14" s="20" customFormat="1" ht="13.5" customHeight="1">
      <c r="A54" s="215"/>
      <c r="B54" s="21" t="s">
        <v>81</v>
      </c>
      <c r="C54" s="22">
        <v>53531</v>
      </c>
      <c r="D54" s="22">
        <v>81342</v>
      </c>
      <c r="E54" s="22">
        <v>32108</v>
      </c>
      <c r="F54" s="22">
        <v>16148</v>
      </c>
      <c r="G54" s="22">
        <v>0</v>
      </c>
      <c r="H54" s="97">
        <v>1945</v>
      </c>
      <c r="I54" s="22">
        <v>71587</v>
      </c>
      <c r="J54" s="22">
        <v>19000</v>
      </c>
      <c r="K54" s="22">
        <v>141053</v>
      </c>
      <c r="L54" s="22">
        <v>49030</v>
      </c>
      <c r="M54" s="22">
        <v>15786</v>
      </c>
      <c r="N54" s="22">
        <v>62342</v>
      </c>
    </row>
    <row r="55" spans="1:14" s="20" customFormat="1" ht="13.5" customHeight="1">
      <c r="A55" s="219"/>
      <c r="B55" s="33" t="s">
        <v>199</v>
      </c>
      <c r="C55" s="22">
        <v>-104269</v>
      </c>
      <c r="D55" s="22">
        <v>228087</v>
      </c>
      <c r="E55" s="22">
        <v>-57752</v>
      </c>
      <c r="F55" s="22">
        <v>15929</v>
      </c>
      <c r="G55" s="22">
        <v>0</v>
      </c>
      <c r="H55" s="97">
        <v>0</v>
      </c>
      <c r="I55" s="22">
        <v>-99590</v>
      </c>
      <c r="J55" s="22">
        <v>-83075</v>
      </c>
      <c r="K55" s="22">
        <v>0</v>
      </c>
      <c r="L55" s="22">
        <v>26296</v>
      </c>
      <c r="M55" s="22">
        <v>0</v>
      </c>
      <c r="N55" s="22">
        <v>0</v>
      </c>
    </row>
    <row r="56" spans="1:14" s="20" customFormat="1" ht="13.5" customHeight="1">
      <c r="A56" s="192" t="s">
        <v>200</v>
      </c>
      <c r="B56" s="33"/>
      <c r="C56" s="22">
        <f t="shared" ref="C56:L56" si="4">+C32-C52</f>
        <v>-88768</v>
      </c>
      <c r="D56" s="22">
        <f t="shared" si="4"/>
        <v>26963</v>
      </c>
      <c r="E56" s="22">
        <f t="shared" si="4"/>
        <v>1433</v>
      </c>
      <c r="F56" s="22">
        <f t="shared" si="4"/>
        <v>-262670</v>
      </c>
      <c r="G56" s="22">
        <f t="shared" si="4"/>
        <v>-59924</v>
      </c>
      <c r="H56" s="22">
        <f t="shared" si="4"/>
        <v>9970</v>
      </c>
      <c r="I56" s="22">
        <f t="shared" si="4"/>
        <v>31747.990000000049</v>
      </c>
      <c r="J56" s="22">
        <f t="shared" ref="J56" si="5">+J32-J52</f>
        <v>-6907</v>
      </c>
      <c r="K56" s="22">
        <f t="shared" si="4"/>
        <v>-156964</v>
      </c>
      <c r="L56" s="22">
        <f t="shared" si="4"/>
        <v>-48482</v>
      </c>
      <c r="M56" s="22">
        <f>+M32-M52</f>
        <v>-67496.089999999967</v>
      </c>
      <c r="N56" s="22">
        <f>+N32-N52</f>
        <v>-266916</v>
      </c>
    </row>
    <row r="57" spans="1:14" s="20" customFormat="1" ht="13.5" customHeight="1">
      <c r="A57" s="192" t="s">
        <v>201</v>
      </c>
      <c r="B57" s="33"/>
      <c r="C57" s="22">
        <f>+C32-C52-C54-C55</f>
        <v>-38030</v>
      </c>
      <c r="D57" s="22">
        <f t="shared" ref="D57:N57" si="6">+D32-D52-D54-D55</f>
        <v>-282466</v>
      </c>
      <c r="E57" s="22">
        <f t="shared" si="6"/>
        <v>27077</v>
      </c>
      <c r="F57" s="22">
        <f t="shared" si="6"/>
        <v>-294747</v>
      </c>
      <c r="G57" s="22">
        <f t="shared" si="6"/>
        <v>-59924</v>
      </c>
      <c r="H57" s="22">
        <f t="shared" si="6"/>
        <v>8025</v>
      </c>
      <c r="I57" s="22">
        <f t="shared" si="6"/>
        <v>59750.990000000049</v>
      </c>
      <c r="J57" s="22">
        <f t="shared" si="6"/>
        <v>57168</v>
      </c>
      <c r="K57" s="22">
        <f t="shared" si="6"/>
        <v>-298017</v>
      </c>
      <c r="L57" s="22">
        <f t="shared" si="6"/>
        <v>-123808</v>
      </c>
      <c r="M57" s="22">
        <f t="shared" si="6"/>
        <v>-83282.089999999967</v>
      </c>
      <c r="N57" s="22">
        <f t="shared" si="6"/>
        <v>-329258</v>
      </c>
    </row>
    <row r="58" spans="1:14" s="20" customFormat="1" ht="13.5" customHeight="1">
      <c r="A58" s="192" t="s">
        <v>202</v>
      </c>
      <c r="B58" s="33"/>
      <c r="C58" s="22">
        <f t="shared" ref="C58:L58" si="7">+C12+C13+C14+C32+-C52</f>
        <v>-22463</v>
      </c>
      <c r="D58" s="22">
        <f t="shared" si="7"/>
        <v>142304</v>
      </c>
      <c r="E58" s="22">
        <f t="shared" si="7"/>
        <v>57608</v>
      </c>
      <c r="F58" s="22">
        <f t="shared" si="7"/>
        <v>-220661</v>
      </c>
      <c r="G58" s="22">
        <f t="shared" si="7"/>
        <v>-8123</v>
      </c>
      <c r="H58" s="22">
        <f t="shared" si="7"/>
        <v>9970</v>
      </c>
      <c r="I58" s="22">
        <f t="shared" si="7"/>
        <v>135093.68000000005</v>
      </c>
      <c r="J58" s="22">
        <f t="shared" ref="J58" si="8">+J12+J13+J14+J32+-J52</f>
        <v>49571</v>
      </c>
      <c r="K58" s="22">
        <f t="shared" si="7"/>
        <v>-102819</v>
      </c>
      <c r="L58" s="22">
        <f t="shared" si="7"/>
        <v>5663</v>
      </c>
      <c r="M58" s="22">
        <f>+M12+M13+M14+M32+-M52</f>
        <v>162987.91000000003</v>
      </c>
      <c r="N58" s="22">
        <f>+N12+N13+N14+N32+-N52</f>
        <v>-56662</v>
      </c>
    </row>
    <row r="59" spans="1:14" s="20" customFormat="1" ht="13.5" customHeight="1">
      <c r="A59" s="192" t="s">
        <v>203</v>
      </c>
      <c r="B59" s="33"/>
      <c r="C59" s="22">
        <f>+C12+C13+C14+C32-C52-C54-C55</f>
        <v>28275</v>
      </c>
      <c r="D59" s="22">
        <f t="shared" ref="D59:N59" si="9">+D12+D13+D14+D32-D52-D54-D55</f>
        <v>-167125</v>
      </c>
      <c r="E59" s="22">
        <f t="shared" si="9"/>
        <v>83252</v>
      </c>
      <c r="F59" s="22">
        <f t="shared" si="9"/>
        <v>-252738</v>
      </c>
      <c r="G59" s="22">
        <f t="shared" si="9"/>
        <v>-8123</v>
      </c>
      <c r="H59" s="22">
        <f t="shared" si="9"/>
        <v>8025</v>
      </c>
      <c r="I59" s="22">
        <f t="shared" si="9"/>
        <v>163096.68000000005</v>
      </c>
      <c r="J59" s="22">
        <f t="shared" si="9"/>
        <v>113646</v>
      </c>
      <c r="K59" s="22">
        <f t="shared" si="9"/>
        <v>-243872</v>
      </c>
      <c r="L59" s="22">
        <f t="shared" si="9"/>
        <v>-69663</v>
      </c>
      <c r="M59" s="22">
        <f t="shared" si="9"/>
        <v>147201.91000000003</v>
      </c>
      <c r="N59" s="22">
        <f t="shared" si="9"/>
        <v>-119004</v>
      </c>
    </row>
    <row r="60" spans="1:14" s="37" customFormat="1" ht="13.5" customHeight="1">
      <c r="A60" s="213" t="s">
        <v>219</v>
      </c>
      <c r="B60" s="11"/>
      <c r="C60" s="34"/>
      <c r="D60" s="35"/>
      <c r="E60" s="35"/>
      <c r="F60" s="35"/>
      <c r="G60" s="35"/>
      <c r="H60" s="36"/>
      <c r="I60" s="35"/>
      <c r="J60" s="35"/>
      <c r="K60" s="35"/>
      <c r="L60" s="36"/>
      <c r="M60" s="36"/>
      <c r="N60" s="35"/>
    </row>
    <row r="61" spans="1:14" s="164" customFormat="1" ht="13.5" customHeight="1">
      <c r="A61" s="220"/>
      <c r="B61" s="163" t="s">
        <v>39</v>
      </c>
      <c r="C61" s="16">
        <v>122862</v>
      </c>
      <c r="D61" s="16">
        <v>241409</v>
      </c>
      <c r="E61" s="16">
        <v>41877</v>
      </c>
      <c r="F61" s="16">
        <v>-1279015</v>
      </c>
      <c r="G61" s="16">
        <v>-332914</v>
      </c>
      <c r="H61" s="16">
        <v>128695</v>
      </c>
      <c r="I61" s="16">
        <v>186181.12</v>
      </c>
      <c r="J61" s="16">
        <v>62539</v>
      </c>
      <c r="K61" s="16">
        <v>-25295</v>
      </c>
      <c r="L61" s="16">
        <v>591020</v>
      </c>
      <c r="M61" s="16">
        <v>427310</v>
      </c>
      <c r="N61" s="16">
        <v>172409</v>
      </c>
    </row>
    <row r="62" spans="1:14" s="164" customFormat="1" ht="13.5" customHeight="1">
      <c r="A62" s="220"/>
      <c r="B62" s="163" t="s">
        <v>212</v>
      </c>
      <c r="C62" s="16">
        <v>-230905</v>
      </c>
      <c r="D62" s="16">
        <v>-351969</v>
      </c>
      <c r="E62" s="16">
        <v>-190860</v>
      </c>
      <c r="F62" s="16">
        <v>-269596</v>
      </c>
      <c r="G62" s="16">
        <v>0</v>
      </c>
      <c r="H62" s="16">
        <v>0</v>
      </c>
      <c r="I62" s="16">
        <v>0</v>
      </c>
      <c r="J62" s="16">
        <v>-228192</v>
      </c>
      <c r="K62" s="16">
        <v>0</v>
      </c>
      <c r="L62" s="16">
        <v>-159686</v>
      </c>
      <c r="M62" s="16">
        <v>0</v>
      </c>
      <c r="N62" s="16">
        <v>0</v>
      </c>
    </row>
    <row r="63" spans="1:14" s="44" customFormat="1" ht="13.5" customHeight="1">
      <c r="A63" s="220"/>
      <c r="B63" s="163" t="s">
        <v>40</v>
      </c>
      <c r="C63" s="16">
        <v>0</v>
      </c>
      <c r="D63" s="16">
        <v>0</v>
      </c>
      <c r="E63" s="16">
        <v>0</v>
      </c>
      <c r="F63" s="16">
        <v>2971485</v>
      </c>
      <c r="G63" s="16">
        <v>3000000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</row>
    <row r="64" spans="1:14" s="44" customFormat="1" ht="13.5" customHeight="1">
      <c r="A64" s="220"/>
      <c r="B64" s="163" t="s">
        <v>41</v>
      </c>
      <c r="C64" s="16">
        <v>732329</v>
      </c>
      <c r="D64" s="16">
        <v>1487195</v>
      </c>
      <c r="E64" s="16">
        <v>492687</v>
      </c>
      <c r="F64" s="16">
        <v>242221</v>
      </c>
      <c r="G64" s="16">
        <v>0</v>
      </c>
      <c r="H64" s="16">
        <v>1945</v>
      </c>
      <c r="I64" s="16">
        <v>993072.43</v>
      </c>
      <c r="J64" s="16">
        <v>339070</v>
      </c>
      <c r="K64" s="16">
        <v>2223515</v>
      </c>
      <c r="L64" s="16">
        <v>656393</v>
      </c>
      <c r="M64" s="16">
        <v>167983</v>
      </c>
      <c r="N64" s="16">
        <v>928161</v>
      </c>
    </row>
    <row r="65" spans="1:248" s="20" customFormat="1" ht="13.5" customHeight="1">
      <c r="A65" s="192"/>
      <c r="B65" s="38" t="s">
        <v>43</v>
      </c>
      <c r="C65" s="19">
        <f>SUM(C61:C64)</f>
        <v>624286</v>
      </c>
      <c r="D65" s="19">
        <f t="shared" ref="D65:N65" si="10">SUM(D61:D64)</f>
        <v>1376635</v>
      </c>
      <c r="E65" s="19">
        <f t="shared" si="10"/>
        <v>343704</v>
      </c>
      <c r="F65" s="19">
        <f t="shared" si="10"/>
        <v>1665095</v>
      </c>
      <c r="G65" s="19">
        <f t="shared" si="10"/>
        <v>2667086</v>
      </c>
      <c r="H65" s="19">
        <f t="shared" si="10"/>
        <v>130640</v>
      </c>
      <c r="I65" s="19">
        <f t="shared" si="10"/>
        <v>1179253.55</v>
      </c>
      <c r="J65" s="19">
        <f t="shared" si="10"/>
        <v>173417</v>
      </c>
      <c r="K65" s="19">
        <f t="shared" si="10"/>
        <v>2198220</v>
      </c>
      <c r="L65" s="19">
        <f t="shared" si="10"/>
        <v>1087727</v>
      </c>
      <c r="M65" s="19">
        <f t="shared" si="10"/>
        <v>595293</v>
      </c>
      <c r="N65" s="19">
        <f t="shared" si="10"/>
        <v>1100570</v>
      </c>
    </row>
    <row r="66" spans="1:248" s="41" customFormat="1" ht="13.5" customHeight="1">
      <c r="A66" s="221" t="s">
        <v>82</v>
      </c>
      <c r="B66" s="221"/>
      <c r="C66" s="222">
        <f t="shared" ref="C66:K66" si="11">C61/(C52)</f>
        <v>0.2035072375907494</v>
      </c>
      <c r="D66" s="222">
        <f t="shared" si="11"/>
        <v>0.30836488399065998</v>
      </c>
      <c r="E66" s="222">
        <f t="shared" si="11"/>
        <v>0.54937947681893318</v>
      </c>
      <c r="F66" s="222">
        <f t="shared" si="11"/>
        <v>-4.4753038902146303</v>
      </c>
      <c r="G66" s="222">
        <f t="shared" si="11"/>
        <v>-3.851700160818206</v>
      </c>
      <c r="H66" s="222">
        <f t="shared" si="11"/>
        <v>0.164828127661591</v>
      </c>
      <c r="I66" s="222">
        <f t="shared" si="11"/>
        <v>0.47007453759807394</v>
      </c>
      <c r="J66" s="222">
        <f t="shared" ref="J66" si="12">J61/(J52)</f>
        <v>0.20420097824738295</v>
      </c>
      <c r="K66" s="222">
        <f t="shared" si="11"/>
        <v>-4.134203485511901E-2</v>
      </c>
      <c r="L66" s="222">
        <f>L61/(L52)</f>
        <v>1.1936952403265484</v>
      </c>
      <c r="M66" s="222">
        <f>M61/(M52)</f>
        <v>0.82682254038482739</v>
      </c>
      <c r="N66" s="222">
        <f>N61/(N52)</f>
        <v>0.31209598441773784</v>
      </c>
    </row>
    <row r="67" spans="1:248" s="44" customFormat="1" ht="13.5" hidden="1" customHeight="1">
      <c r="A67" s="153"/>
      <c r="B67" s="47" t="s">
        <v>83</v>
      </c>
      <c r="C67" s="73">
        <f t="shared" ref="C67:N67" si="13">+C10+C12+C13+C14+C32-C52-C54-C65-C55</f>
        <v>2</v>
      </c>
      <c r="D67" s="73">
        <f t="shared" si="13"/>
        <v>-2</v>
      </c>
      <c r="E67" s="73">
        <f t="shared" si="13"/>
        <v>-1</v>
      </c>
      <c r="F67" s="73">
        <f t="shared" si="13"/>
        <v>0</v>
      </c>
      <c r="G67" s="73">
        <f t="shared" ref="G67" si="14">+G10+G12+G13+G14+G32-G52-G54-G65-G55</f>
        <v>-1.4300000001676381</v>
      </c>
      <c r="H67" s="73">
        <f t="shared" si="13"/>
        <v>2</v>
      </c>
      <c r="I67" s="73">
        <f t="shared" si="13"/>
        <v>0</v>
      </c>
      <c r="J67" s="73">
        <f t="shared" si="13"/>
        <v>2</v>
      </c>
      <c r="K67" s="73">
        <f t="shared" si="13"/>
        <v>0</v>
      </c>
      <c r="L67" s="73">
        <f t="shared" si="13"/>
        <v>-1</v>
      </c>
      <c r="M67" s="73">
        <f t="shared" si="13"/>
        <v>-8.9999999850988388E-2</v>
      </c>
      <c r="N67" s="240">
        <f t="shared" si="13"/>
        <v>0</v>
      </c>
    </row>
    <row r="68" spans="1:248" s="44" customFormat="1" hidden="1">
      <c r="A68" s="159"/>
      <c r="B68" s="159"/>
      <c r="C68" s="112">
        <f t="shared" ref="C68:N68" si="15">+C10+C59-C65</f>
        <v>2</v>
      </c>
      <c r="D68" s="112">
        <f t="shared" si="15"/>
        <v>-2</v>
      </c>
      <c r="E68" s="112">
        <f t="shared" si="15"/>
        <v>-1</v>
      </c>
      <c r="F68" s="43">
        <f t="shared" si="15"/>
        <v>0</v>
      </c>
      <c r="G68" s="43">
        <f t="shared" si="15"/>
        <v>-1.4300000001676381</v>
      </c>
      <c r="H68" s="43">
        <f t="shared" si="15"/>
        <v>2</v>
      </c>
      <c r="I68" s="43">
        <f t="shared" si="15"/>
        <v>0</v>
      </c>
      <c r="J68" s="43">
        <f t="shared" si="15"/>
        <v>2</v>
      </c>
      <c r="K68" s="43">
        <f t="shared" si="15"/>
        <v>0</v>
      </c>
      <c r="L68" s="43">
        <f t="shared" si="15"/>
        <v>-1</v>
      </c>
      <c r="M68" s="43">
        <f t="shared" si="15"/>
        <v>-8.999999996740371E-2</v>
      </c>
      <c r="N68" s="43">
        <f t="shared" si="15"/>
        <v>0</v>
      </c>
    </row>
    <row r="69" spans="1:248" ht="12.95" customHeight="1">
      <c r="A69" s="159"/>
      <c r="B69" s="159"/>
      <c r="C69" s="112"/>
      <c r="D69" s="112"/>
      <c r="E69" s="112"/>
      <c r="F69" s="43"/>
      <c r="G69" s="43"/>
      <c r="H69" s="43"/>
      <c r="I69" s="43"/>
      <c r="J69" s="43"/>
      <c r="K69" s="43"/>
      <c r="L69" s="43"/>
      <c r="M69" s="43"/>
      <c r="N69" s="241"/>
    </row>
    <row r="70" spans="1:248" ht="12.95" customHeight="1">
      <c r="A70" s="140" t="s">
        <v>193</v>
      </c>
      <c r="B70" s="48"/>
      <c r="C70" s="48"/>
      <c r="D70" s="48"/>
      <c r="E70" s="148"/>
      <c r="F70" s="47"/>
      <c r="G70" s="47"/>
      <c r="H70" s="47"/>
      <c r="I70" s="47"/>
      <c r="J70" s="47"/>
      <c r="K70" s="47"/>
      <c r="L70" s="47"/>
      <c r="M70" s="47"/>
      <c r="N70" s="53"/>
    </row>
    <row r="71" spans="1:248" ht="12.95" customHeight="1">
      <c r="A71" s="137" t="s">
        <v>194</v>
      </c>
      <c r="B71" s="48"/>
      <c r="C71" s="48"/>
      <c r="D71" s="48"/>
      <c r="E71" s="148"/>
      <c r="F71" s="47"/>
      <c r="G71" s="47"/>
      <c r="H71" s="47"/>
      <c r="I71" s="47"/>
      <c r="J71" s="47"/>
      <c r="K71" s="47"/>
      <c r="L71" s="47"/>
      <c r="M71" s="47"/>
      <c r="N71" s="53"/>
    </row>
    <row r="72" spans="1:248" ht="12.95" customHeight="1">
      <c r="A72" s="138" t="s">
        <v>84</v>
      </c>
      <c r="B72" s="48"/>
      <c r="C72" s="48"/>
      <c r="D72" s="48"/>
      <c r="E72" s="148"/>
      <c r="F72" s="47"/>
      <c r="G72" s="47"/>
      <c r="H72" s="47"/>
      <c r="I72" s="47"/>
      <c r="J72" s="47"/>
      <c r="K72" s="47"/>
      <c r="L72" s="47"/>
      <c r="M72" s="47"/>
      <c r="N72" s="53"/>
    </row>
    <row r="73" spans="1:248" ht="12.95" customHeight="1">
      <c r="A73" s="139"/>
      <c r="B73" s="48"/>
      <c r="C73" s="48"/>
      <c r="D73" s="48"/>
      <c r="E73" s="148"/>
      <c r="F73" s="47"/>
      <c r="G73" s="47"/>
      <c r="H73" s="47"/>
      <c r="I73" s="47"/>
      <c r="J73" s="47"/>
      <c r="K73" s="47"/>
      <c r="L73" s="47"/>
      <c r="M73" s="47"/>
      <c r="N73" s="53"/>
    </row>
    <row r="74" spans="1:248" ht="12.95" customHeight="1">
      <c r="A74" s="137" t="s">
        <v>195</v>
      </c>
      <c r="B74" s="48"/>
      <c r="C74" s="48"/>
      <c r="D74" s="48"/>
      <c r="E74" s="148"/>
      <c r="F74" s="47"/>
      <c r="G74" s="47"/>
      <c r="H74" s="47"/>
      <c r="I74" s="47"/>
      <c r="J74" s="47"/>
      <c r="K74" s="47"/>
      <c r="L74" s="47"/>
      <c r="M74" s="47"/>
      <c r="N74" s="53"/>
    </row>
    <row r="75" spans="1:248" ht="12.95" customHeight="1">
      <c r="A75" s="137" t="s">
        <v>85</v>
      </c>
      <c r="B75" s="48"/>
      <c r="C75" s="48"/>
      <c r="D75" s="48"/>
      <c r="E75" s="160"/>
      <c r="F75" s="53"/>
      <c r="G75" s="53"/>
      <c r="H75" s="47"/>
      <c r="I75" s="53"/>
      <c r="J75" s="47"/>
      <c r="K75" s="47"/>
      <c r="L75" s="47"/>
      <c r="M75" s="47"/>
      <c r="N75" s="53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  <c r="CL75" s="257"/>
      <c r="CM75" s="257"/>
      <c r="CN75" s="257"/>
      <c r="CO75" s="257"/>
      <c r="CP75" s="257"/>
      <c r="CQ75" s="257"/>
      <c r="CR75" s="257"/>
      <c r="CS75" s="257"/>
      <c r="CT75" s="257"/>
      <c r="CU75" s="257"/>
      <c r="CV75" s="257"/>
      <c r="CW75" s="257"/>
      <c r="CX75" s="257"/>
      <c r="CY75" s="257"/>
      <c r="CZ75" s="257"/>
      <c r="DA75" s="257"/>
      <c r="DB75" s="257"/>
      <c r="DC75" s="257"/>
      <c r="DD75" s="257"/>
      <c r="DE75" s="257"/>
      <c r="DF75" s="257"/>
      <c r="DG75" s="257"/>
      <c r="DH75" s="257"/>
      <c r="DI75" s="257"/>
      <c r="DJ75" s="257"/>
      <c r="DK75" s="257"/>
      <c r="DL75" s="257"/>
      <c r="DM75" s="257"/>
      <c r="DN75" s="257"/>
      <c r="DO75" s="257"/>
      <c r="DP75" s="257"/>
      <c r="DQ75" s="257"/>
      <c r="DR75" s="257"/>
      <c r="DS75" s="257"/>
      <c r="DT75" s="257"/>
      <c r="DU75" s="257"/>
      <c r="DV75" s="257"/>
      <c r="DW75" s="257"/>
      <c r="DX75" s="257"/>
      <c r="DY75" s="257"/>
      <c r="DZ75" s="257"/>
      <c r="EA75" s="257"/>
      <c r="EB75" s="257"/>
      <c r="EC75" s="257"/>
      <c r="ED75" s="257"/>
      <c r="EE75" s="257"/>
      <c r="EF75" s="257"/>
      <c r="EG75" s="257"/>
      <c r="EH75" s="257"/>
      <c r="EI75" s="257"/>
      <c r="EJ75" s="257"/>
      <c r="EK75" s="257"/>
      <c r="EL75" s="257"/>
      <c r="EM75" s="257"/>
      <c r="EN75" s="257"/>
      <c r="EO75" s="257"/>
      <c r="EP75" s="257"/>
      <c r="EQ75" s="257"/>
      <c r="ER75" s="257"/>
      <c r="ES75" s="257"/>
      <c r="ET75" s="257"/>
      <c r="EU75" s="257"/>
      <c r="EV75" s="257"/>
      <c r="EW75" s="257"/>
      <c r="EX75" s="257"/>
      <c r="EY75" s="257"/>
      <c r="EZ75" s="257"/>
      <c r="FA75" s="257"/>
      <c r="FB75" s="257"/>
      <c r="FC75" s="257"/>
      <c r="FD75" s="257"/>
      <c r="FE75" s="257"/>
      <c r="FF75" s="257"/>
      <c r="FG75" s="257"/>
      <c r="FH75" s="257"/>
      <c r="FI75" s="257"/>
      <c r="FJ75" s="257"/>
      <c r="FK75" s="257"/>
      <c r="FL75" s="257"/>
      <c r="FM75" s="257"/>
      <c r="FN75" s="257"/>
      <c r="FO75" s="257"/>
      <c r="FP75" s="257"/>
      <c r="FQ75" s="257"/>
      <c r="FR75" s="257"/>
      <c r="FS75" s="257"/>
      <c r="FT75" s="257"/>
      <c r="FU75" s="257"/>
      <c r="FV75" s="257"/>
      <c r="FW75" s="257"/>
      <c r="FX75" s="257"/>
      <c r="FY75" s="257"/>
      <c r="FZ75" s="257"/>
      <c r="GA75" s="257"/>
      <c r="GB75" s="257"/>
      <c r="GC75" s="257"/>
      <c r="GD75" s="257"/>
      <c r="GE75" s="257"/>
      <c r="GF75" s="257"/>
      <c r="GG75" s="257"/>
      <c r="GH75" s="257"/>
      <c r="GI75" s="257"/>
      <c r="GJ75" s="257"/>
      <c r="GK75" s="257"/>
      <c r="GL75" s="257"/>
      <c r="GM75" s="257"/>
      <c r="GN75" s="257"/>
      <c r="GO75" s="257"/>
      <c r="GP75" s="257"/>
      <c r="GQ75" s="257"/>
      <c r="GR75" s="257"/>
      <c r="GS75" s="257"/>
      <c r="GT75" s="257"/>
      <c r="GU75" s="257"/>
      <c r="GV75" s="257"/>
      <c r="GW75" s="257"/>
      <c r="GX75" s="257"/>
      <c r="GY75" s="257"/>
      <c r="GZ75" s="257"/>
      <c r="HA75" s="257"/>
      <c r="HB75" s="257"/>
      <c r="HC75" s="257"/>
      <c r="HD75" s="257"/>
      <c r="HE75" s="257"/>
      <c r="HF75" s="257"/>
      <c r="HG75" s="257"/>
      <c r="HH75" s="257"/>
      <c r="HI75" s="257"/>
      <c r="HJ75" s="257"/>
      <c r="HK75" s="257"/>
      <c r="HL75" s="257"/>
      <c r="HM75" s="257"/>
      <c r="HN75" s="257"/>
      <c r="HO75" s="257"/>
      <c r="HP75" s="257"/>
      <c r="HQ75" s="257"/>
      <c r="HR75" s="257"/>
      <c r="HS75" s="257"/>
      <c r="HT75" s="257"/>
      <c r="HU75" s="257"/>
      <c r="HV75" s="257"/>
      <c r="HW75" s="257"/>
      <c r="HX75" s="257"/>
      <c r="HY75" s="257"/>
      <c r="HZ75" s="257"/>
      <c r="IA75" s="257"/>
      <c r="IB75" s="257"/>
      <c r="IC75" s="257"/>
      <c r="ID75" s="257"/>
      <c r="IE75" s="257"/>
      <c r="IF75" s="257"/>
      <c r="IG75" s="257"/>
      <c r="IH75" s="257"/>
      <c r="II75" s="257"/>
      <c r="IJ75" s="257"/>
      <c r="IK75" s="257"/>
      <c r="IL75" s="257"/>
      <c r="IM75" s="257"/>
      <c r="IN75" s="257"/>
    </row>
    <row r="76" spans="1:248" ht="12.95" customHeight="1">
      <c r="A76" s="137" t="s">
        <v>86</v>
      </c>
      <c r="B76" s="161"/>
      <c r="C76" s="162"/>
      <c r="D76" s="162"/>
      <c r="E76" s="160"/>
      <c r="F76" s="53"/>
      <c r="G76" s="53"/>
      <c r="H76" s="47"/>
      <c r="I76" s="53"/>
      <c r="J76" s="47"/>
      <c r="K76" s="47"/>
      <c r="L76" s="47"/>
      <c r="M76" s="47"/>
      <c r="N76" s="53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  <c r="HG76" s="46"/>
      <c r="HH76" s="46"/>
      <c r="HI76" s="46"/>
      <c r="HJ76" s="46"/>
      <c r="HK76" s="46"/>
      <c r="HL76" s="46"/>
      <c r="HM76" s="46"/>
      <c r="HN76" s="46"/>
      <c r="HO76" s="46"/>
      <c r="HP76" s="46"/>
      <c r="HQ76" s="46"/>
      <c r="HR76" s="46"/>
      <c r="HS76" s="46"/>
      <c r="HT76" s="46"/>
      <c r="HU76" s="46"/>
      <c r="HV76" s="46"/>
      <c r="HW76" s="46"/>
      <c r="HX76" s="46"/>
      <c r="HY76" s="46"/>
      <c r="HZ76" s="46"/>
      <c r="IA76" s="46"/>
      <c r="IB76" s="46"/>
      <c r="IC76" s="46"/>
      <c r="ID76" s="46"/>
      <c r="IE76" s="46"/>
      <c r="IF76" s="46"/>
      <c r="IG76" s="46"/>
      <c r="IH76" s="46"/>
      <c r="II76" s="46"/>
      <c r="IJ76" s="46"/>
      <c r="IK76" s="46"/>
      <c r="IL76" s="46"/>
      <c r="IM76" s="46"/>
      <c r="IN76" s="46"/>
    </row>
    <row r="77" spans="1:248" ht="12.95" customHeight="1">
      <c r="A77" s="48"/>
      <c r="B77" s="48"/>
      <c r="C77" s="48"/>
      <c r="D77" s="48"/>
      <c r="E77" s="160"/>
      <c r="F77" s="53"/>
      <c r="G77" s="53"/>
      <c r="H77" s="47"/>
      <c r="I77" s="53"/>
      <c r="J77" s="47"/>
      <c r="K77" s="47"/>
      <c r="L77" s="47"/>
      <c r="M77" s="47"/>
      <c r="N77" s="53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57"/>
      <c r="BH77" s="257"/>
      <c r="BI77" s="257"/>
      <c r="BJ77" s="257"/>
      <c r="BK77" s="257"/>
      <c r="BL77" s="257"/>
      <c r="BM77" s="257"/>
      <c r="BN77" s="257"/>
      <c r="BO77" s="257"/>
      <c r="BP77" s="257"/>
      <c r="BQ77" s="257"/>
      <c r="BR77" s="257"/>
      <c r="BS77" s="257"/>
      <c r="BT77" s="257"/>
      <c r="BU77" s="257"/>
      <c r="BV77" s="257"/>
      <c r="BW77" s="257"/>
      <c r="BX77" s="257"/>
      <c r="BY77" s="257"/>
      <c r="BZ77" s="257"/>
      <c r="CA77" s="257"/>
      <c r="CB77" s="257"/>
      <c r="CC77" s="257"/>
      <c r="CD77" s="257"/>
      <c r="CE77" s="257"/>
      <c r="CF77" s="257"/>
      <c r="CG77" s="257"/>
      <c r="CH77" s="257"/>
      <c r="CI77" s="257"/>
      <c r="CJ77" s="257"/>
      <c r="CK77" s="257"/>
      <c r="CL77" s="257"/>
      <c r="CM77" s="257"/>
      <c r="CN77" s="257"/>
      <c r="CO77" s="257"/>
      <c r="CP77" s="257"/>
      <c r="CQ77" s="257"/>
      <c r="CR77" s="257"/>
      <c r="CS77" s="257"/>
      <c r="CT77" s="257"/>
      <c r="CU77" s="257"/>
      <c r="CV77" s="257"/>
      <c r="CW77" s="257"/>
      <c r="CX77" s="257"/>
      <c r="CY77" s="257"/>
      <c r="CZ77" s="257"/>
      <c r="DA77" s="257"/>
      <c r="DB77" s="257"/>
      <c r="DC77" s="257"/>
      <c r="DD77" s="257"/>
      <c r="DE77" s="257"/>
      <c r="DF77" s="257"/>
      <c r="DG77" s="257"/>
      <c r="DH77" s="257"/>
      <c r="DI77" s="257"/>
      <c r="DJ77" s="257"/>
      <c r="DK77" s="257"/>
      <c r="DL77" s="257"/>
      <c r="DM77" s="257"/>
      <c r="DN77" s="257"/>
      <c r="DO77" s="257"/>
      <c r="DP77" s="257"/>
      <c r="DQ77" s="257"/>
      <c r="DR77" s="257"/>
      <c r="DS77" s="257"/>
      <c r="DT77" s="257"/>
      <c r="DU77" s="257"/>
      <c r="DV77" s="257"/>
      <c r="DW77" s="257"/>
      <c r="DX77" s="257"/>
      <c r="DY77" s="257"/>
      <c r="DZ77" s="257"/>
      <c r="EA77" s="257"/>
      <c r="EB77" s="257"/>
      <c r="EC77" s="257"/>
      <c r="ED77" s="257"/>
      <c r="EE77" s="257"/>
      <c r="EF77" s="257"/>
      <c r="EG77" s="257"/>
      <c r="EH77" s="257"/>
      <c r="EI77" s="257"/>
      <c r="EJ77" s="257"/>
      <c r="EK77" s="257"/>
      <c r="EL77" s="257"/>
      <c r="EM77" s="257"/>
      <c r="EN77" s="257"/>
      <c r="EO77" s="257"/>
      <c r="EP77" s="257"/>
      <c r="EQ77" s="257"/>
      <c r="ER77" s="257"/>
      <c r="ES77" s="257"/>
      <c r="ET77" s="257"/>
      <c r="EU77" s="257"/>
      <c r="EV77" s="257"/>
      <c r="EW77" s="257"/>
      <c r="EX77" s="257"/>
      <c r="EY77" s="257"/>
      <c r="EZ77" s="257"/>
      <c r="FA77" s="257"/>
      <c r="FB77" s="257"/>
      <c r="FC77" s="257"/>
      <c r="FD77" s="257"/>
      <c r="FE77" s="257"/>
      <c r="FF77" s="257"/>
      <c r="FG77" s="257"/>
      <c r="FH77" s="257"/>
      <c r="FI77" s="257"/>
      <c r="FJ77" s="257"/>
      <c r="FK77" s="257"/>
      <c r="FL77" s="257"/>
      <c r="FM77" s="257"/>
      <c r="FN77" s="257"/>
      <c r="FO77" s="257"/>
      <c r="FP77" s="257"/>
      <c r="FQ77" s="257"/>
      <c r="FR77" s="257"/>
      <c r="FS77" s="257"/>
      <c r="FT77" s="257"/>
      <c r="FU77" s="257"/>
      <c r="FV77" s="257"/>
      <c r="FW77" s="257"/>
      <c r="FX77" s="257"/>
      <c r="FY77" s="257"/>
      <c r="FZ77" s="257"/>
      <c r="GA77" s="257"/>
      <c r="GB77" s="257"/>
      <c r="GC77" s="257"/>
      <c r="GD77" s="257"/>
      <c r="GE77" s="257"/>
      <c r="GF77" s="257"/>
      <c r="GG77" s="257"/>
      <c r="GH77" s="257"/>
      <c r="GI77" s="257"/>
      <c r="GJ77" s="257"/>
      <c r="GK77" s="257"/>
      <c r="GL77" s="257"/>
      <c r="GM77" s="257"/>
      <c r="GN77" s="257"/>
      <c r="GO77" s="257"/>
      <c r="GP77" s="257"/>
      <c r="GQ77" s="257"/>
      <c r="GR77" s="257"/>
      <c r="GS77" s="257"/>
      <c r="GT77" s="257"/>
      <c r="GU77" s="257"/>
      <c r="GV77" s="257"/>
      <c r="GW77" s="257"/>
      <c r="GX77" s="257"/>
      <c r="GY77" s="257"/>
      <c r="GZ77" s="257"/>
      <c r="HA77" s="257"/>
      <c r="HB77" s="257"/>
      <c r="HC77" s="257"/>
      <c r="HD77" s="257"/>
      <c r="HE77" s="257"/>
      <c r="HF77" s="257"/>
      <c r="HG77" s="257"/>
      <c r="HH77" s="257"/>
      <c r="HI77" s="257"/>
      <c r="HJ77" s="257"/>
      <c r="HK77" s="257"/>
      <c r="HL77" s="257"/>
      <c r="HM77" s="257"/>
      <c r="HN77" s="257"/>
      <c r="HO77" s="257"/>
      <c r="HP77" s="257"/>
      <c r="HQ77" s="257"/>
      <c r="HR77" s="257"/>
      <c r="HS77" s="257"/>
      <c r="HT77" s="257"/>
      <c r="HU77" s="257"/>
      <c r="HV77" s="257"/>
      <c r="HW77" s="257"/>
      <c r="HX77" s="257"/>
      <c r="HY77" s="257"/>
      <c r="HZ77" s="257"/>
      <c r="IA77" s="257"/>
      <c r="IB77" s="257"/>
      <c r="IC77" s="257"/>
      <c r="ID77" s="257"/>
      <c r="IE77" s="257"/>
      <c r="IF77" s="257"/>
      <c r="IG77" s="257"/>
      <c r="IH77" s="257"/>
      <c r="II77" s="257"/>
      <c r="IJ77" s="257"/>
      <c r="IK77" s="257"/>
      <c r="IL77" s="257"/>
      <c r="IM77" s="257"/>
      <c r="IN77" s="257"/>
    </row>
    <row r="78" spans="1:248">
      <c r="A78" s="258"/>
      <c r="B78" s="259"/>
      <c r="C78" s="210"/>
      <c r="D78" s="208"/>
      <c r="E78" s="208"/>
      <c r="F78" s="208"/>
      <c r="G78" s="208"/>
      <c r="H78" s="208"/>
      <c r="I78" s="208"/>
      <c r="J78" s="209"/>
      <c r="K78" s="209"/>
      <c r="L78" s="208"/>
      <c r="M78" s="208"/>
      <c r="N78" s="211"/>
    </row>
    <row r="79" spans="1:248" ht="77.25" customHeight="1">
      <c r="A79" s="260"/>
      <c r="B79" s="261"/>
      <c r="C79" s="207" t="str">
        <f t="shared" ref="C79:N79" si="16">C2</f>
        <v>10-A DAA, Tulelake-Butte Valley Fair</v>
      </c>
      <c r="D79" s="207" t="str">
        <f t="shared" si="16"/>
        <v>33rd DAA,      San Benito County Fair</v>
      </c>
      <c r="E79" s="207" t="str">
        <f t="shared" si="16"/>
        <v>34th DAA, Modoc-Last Frontier Fair</v>
      </c>
      <c r="F79" s="207" t="str">
        <f t="shared" si="16"/>
        <v>48th DAA, Schools Involvement Fair</v>
      </c>
      <c r="G79" s="207" t="str">
        <f t="shared" si="16"/>
        <v>51st DAA,       The Valley Fair</v>
      </c>
      <c r="H79" s="207" t="str">
        <f t="shared" si="16"/>
        <v>52nd DAA, Sacramento County Fair</v>
      </c>
      <c r="I79" s="207" t="str">
        <f t="shared" si="16"/>
        <v>53rd DAA, Desert Empire Fair</v>
      </c>
      <c r="J79" s="207" t="str">
        <f t="shared" si="16"/>
        <v>54th DAA, Colorado River Country Fair</v>
      </c>
      <c r="K79" s="207" t="str">
        <f t="shared" si="16"/>
        <v>Chowchilla- Madera County Fair</v>
      </c>
      <c r="L79" s="207" t="str">
        <f t="shared" si="16"/>
        <v>Mendocino County Fair</v>
      </c>
      <c r="M79" s="207" t="str">
        <f t="shared" si="16"/>
        <v>Inter-Mountain Fair</v>
      </c>
      <c r="N79" s="207" t="str">
        <f t="shared" si="16"/>
        <v>Trinity County Fair</v>
      </c>
    </row>
    <row r="80" spans="1:248" ht="13.5" customHeight="1">
      <c r="A80" s="213" t="s">
        <v>87</v>
      </c>
      <c r="B80" s="27"/>
      <c r="C80" s="49"/>
      <c r="D80" s="50"/>
      <c r="E80" s="50"/>
      <c r="F80" s="50"/>
      <c r="G80" s="50"/>
      <c r="H80" s="51"/>
      <c r="I80" s="50"/>
      <c r="J80" s="51"/>
      <c r="K80" s="51"/>
      <c r="L80" s="51"/>
      <c r="M80" s="51"/>
      <c r="N80" s="50"/>
    </row>
    <row r="81" spans="1:14" ht="13.5" customHeight="1">
      <c r="A81" s="213" t="s">
        <v>88</v>
      </c>
      <c r="B81" s="27"/>
      <c r="C81" s="49"/>
      <c r="D81" s="50"/>
      <c r="E81" s="50"/>
      <c r="F81" s="50"/>
      <c r="G81" s="50"/>
      <c r="H81" s="51"/>
      <c r="I81" s="50"/>
      <c r="J81" s="51"/>
      <c r="K81" s="51"/>
      <c r="L81" s="51"/>
      <c r="M81" s="51"/>
      <c r="N81" s="50"/>
    </row>
    <row r="82" spans="1:14" ht="13.5" customHeight="1">
      <c r="A82" s="218"/>
      <c r="B82" s="27" t="s">
        <v>89</v>
      </c>
      <c r="C82" s="17"/>
      <c r="D82" s="28"/>
      <c r="E82" s="28"/>
      <c r="F82" s="28"/>
      <c r="G82" s="28"/>
      <c r="H82" s="18"/>
      <c r="I82" s="28"/>
      <c r="J82" s="18"/>
      <c r="K82" s="18"/>
      <c r="L82" s="18"/>
      <c r="M82" s="18"/>
      <c r="N82" s="28"/>
    </row>
    <row r="83" spans="1:14" ht="13.5" customHeight="1">
      <c r="A83" s="218"/>
      <c r="B83" s="27" t="s">
        <v>90</v>
      </c>
      <c r="C83" s="12">
        <v>0</v>
      </c>
      <c r="D83" s="12">
        <v>121390</v>
      </c>
      <c r="E83" s="13">
        <v>0</v>
      </c>
      <c r="F83" s="13">
        <v>1703102</v>
      </c>
      <c r="G83" s="13">
        <v>2633325</v>
      </c>
      <c r="H83" s="14">
        <v>494133</v>
      </c>
      <c r="I83" s="13">
        <v>0</v>
      </c>
      <c r="J83" s="14">
        <v>0</v>
      </c>
      <c r="K83" s="14">
        <v>0</v>
      </c>
      <c r="L83" s="14">
        <v>0</v>
      </c>
      <c r="M83" s="14">
        <v>30020</v>
      </c>
      <c r="N83" s="13">
        <v>0</v>
      </c>
    </row>
    <row r="84" spans="1:14" ht="13.5" customHeight="1">
      <c r="A84" s="218"/>
      <c r="B84" s="27" t="s">
        <v>91</v>
      </c>
      <c r="C84" s="17">
        <v>165057</v>
      </c>
      <c r="D84" s="17">
        <v>311285</v>
      </c>
      <c r="E84" s="28">
        <v>45904</v>
      </c>
      <c r="F84" s="28">
        <f>200+13358</f>
        <v>13558</v>
      </c>
      <c r="G84" s="28">
        <v>22560</v>
      </c>
      <c r="H84" s="18">
        <v>365358</v>
      </c>
      <c r="I84" s="28">
        <v>175791.62</v>
      </c>
      <c r="J84" s="18">
        <v>40149</v>
      </c>
      <c r="K84" s="18">
        <v>166318</v>
      </c>
      <c r="L84" s="18">
        <v>656661</v>
      </c>
      <c r="M84" s="18">
        <v>474010</v>
      </c>
      <c r="N84" s="28">
        <v>209066</v>
      </c>
    </row>
    <row r="85" spans="1:14" ht="13.5" customHeight="1">
      <c r="A85" s="218"/>
      <c r="B85" s="27" t="s">
        <v>92</v>
      </c>
      <c r="C85" s="17">
        <v>2537</v>
      </c>
      <c r="D85" s="28">
        <f>32475+8044</f>
        <v>40519</v>
      </c>
      <c r="E85" s="28">
        <v>210</v>
      </c>
      <c r="F85" s="28">
        <v>0</v>
      </c>
      <c r="G85" s="28">
        <v>7995</v>
      </c>
      <c r="H85" s="18">
        <v>44329</v>
      </c>
      <c r="I85" s="28">
        <v>0</v>
      </c>
      <c r="J85" s="18">
        <v>39321</v>
      </c>
      <c r="K85" s="18">
        <v>6030</v>
      </c>
      <c r="L85" s="18">
        <v>6239</v>
      </c>
      <c r="M85" s="18">
        <v>8400</v>
      </c>
      <c r="N85" s="28">
        <v>10094</v>
      </c>
    </row>
    <row r="86" spans="1:14" ht="13.5" customHeight="1">
      <c r="A86" s="218"/>
      <c r="B86" s="27" t="s">
        <v>93</v>
      </c>
      <c r="C86" s="17">
        <v>0</v>
      </c>
      <c r="D86" s="28">
        <v>12224</v>
      </c>
      <c r="E86" s="28">
        <v>0</v>
      </c>
      <c r="F86" s="28">
        <v>2794</v>
      </c>
      <c r="G86" s="28">
        <v>0</v>
      </c>
      <c r="H86" s="18">
        <v>0</v>
      </c>
      <c r="I86" s="28">
        <v>0</v>
      </c>
      <c r="J86" s="18">
        <v>0</v>
      </c>
      <c r="K86" s="18">
        <v>0</v>
      </c>
      <c r="L86" s="18">
        <v>0</v>
      </c>
      <c r="M86" s="18">
        <v>0</v>
      </c>
      <c r="N86" s="28">
        <v>0</v>
      </c>
    </row>
    <row r="87" spans="1:14" ht="13.5" customHeight="1">
      <c r="A87" s="218"/>
      <c r="B87" s="27" t="s">
        <v>94</v>
      </c>
      <c r="C87" s="17">
        <v>0</v>
      </c>
      <c r="D87" s="28">
        <v>0</v>
      </c>
      <c r="E87" s="28">
        <v>0</v>
      </c>
      <c r="F87" s="28">
        <v>0</v>
      </c>
      <c r="G87" s="28">
        <v>0</v>
      </c>
      <c r="H87" s="18">
        <v>0</v>
      </c>
      <c r="I87" s="28">
        <v>0</v>
      </c>
      <c r="J87" s="18">
        <v>0</v>
      </c>
      <c r="K87" s="18">
        <v>0</v>
      </c>
      <c r="L87" s="18">
        <v>0</v>
      </c>
      <c r="M87" s="18">
        <v>0</v>
      </c>
      <c r="N87" s="28">
        <v>0</v>
      </c>
    </row>
    <row r="88" spans="1:14" ht="13.5" customHeight="1">
      <c r="A88" s="218"/>
      <c r="B88" s="27" t="s">
        <v>95</v>
      </c>
      <c r="C88" s="17">
        <v>0</v>
      </c>
      <c r="D88" s="28">
        <v>94539</v>
      </c>
      <c r="E88" s="28">
        <v>38863</v>
      </c>
      <c r="F88" s="28">
        <v>0</v>
      </c>
      <c r="G88" s="28">
        <v>0</v>
      </c>
      <c r="H88" s="18">
        <v>0</v>
      </c>
      <c r="I88" s="28">
        <v>5410</v>
      </c>
      <c r="J88" s="18">
        <v>0</v>
      </c>
      <c r="K88" s="18">
        <v>0</v>
      </c>
      <c r="L88" s="18">
        <v>24246</v>
      </c>
      <c r="M88" s="18">
        <v>0</v>
      </c>
      <c r="N88" s="28">
        <v>51672</v>
      </c>
    </row>
    <row r="89" spans="1:14" ht="13.5" customHeight="1">
      <c r="A89" s="218"/>
      <c r="B89" s="27" t="s">
        <v>96</v>
      </c>
      <c r="C89" s="17">
        <v>52888</v>
      </c>
      <c r="D89" s="28">
        <v>61442</v>
      </c>
      <c r="E89" s="28">
        <v>600</v>
      </c>
      <c r="F89" s="28">
        <v>0</v>
      </c>
      <c r="G89" s="28">
        <v>0</v>
      </c>
      <c r="H89" s="18">
        <v>0</v>
      </c>
      <c r="I89" s="28">
        <v>71375</v>
      </c>
      <c r="J89" s="18">
        <v>71241</v>
      </c>
      <c r="K89" s="18">
        <v>33347</v>
      </c>
      <c r="L89" s="18">
        <v>0</v>
      </c>
      <c r="M89" s="18">
        <v>0</v>
      </c>
      <c r="N89" s="28">
        <v>0</v>
      </c>
    </row>
    <row r="90" spans="1:14" ht="13.5" customHeight="1">
      <c r="A90" s="218"/>
      <c r="B90" s="27" t="s">
        <v>97</v>
      </c>
      <c r="C90" s="17">
        <v>2366592</v>
      </c>
      <c r="D90" s="28">
        <v>3501689</v>
      </c>
      <c r="E90" s="28">
        <v>1827040</v>
      </c>
      <c r="F90" s="28">
        <v>0</v>
      </c>
      <c r="G90" s="28">
        <v>0</v>
      </c>
      <c r="H90" s="18">
        <v>76731</v>
      </c>
      <c r="I90" s="28">
        <v>2216354</v>
      </c>
      <c r="J90" s="18">
        <v>2185402</v>
      </c>
      <c r="K90" s="18">
        <v>4434724</v>
      </c>
      <c r="L90" s="18">
        <v>0</v>
      </c>
      <c r="M90" s="18">
        <v>0</v>
      </c>
      <c r="N90" s="28">
        <v>0</v>
      </c>
    </row>
    <row r="91" spans="1:14" ht="13.5" customHeight="1">
      <c r="A91" s="218"/>
      <c r="B91" s="27" t="s">
        <v>98</v>
      </c>
      <c r="C91" s="17">
        <v>200332</v>
      </c>
      <c r="D91" s="28">
        <v>78574</v>
      </c>
      <c r="E91" s="28">
        <v>107768</v>
      </c>
      <c r="F91" s="28">
        <v>18698</v>
      </c>
      <c r="G91" s="28">
        <v>0</v>
      </c>
      <c r="H91" s="18">
        <v>9726</v>
      </c>
      <c r="I91" s="28">
        <v>123859.26</v>
      </c>
      <c r="J91" s="18">
        <v>71643</v>
      </c>
      <c r="K91" s="18">
        <v>74867</v>
      </c>
      <c r="L91" s="18">
        <v>121459</v>
      </c>
      <c r="M91" s="18">
        <v>69440</v>
      </c>
      <c r="N91" s="28">
        <v>115725</v>
      </c>
    </row>
    <row r="92" spans="1:14" ht="13.5" customHeight="1">
      <c r="A92" s="218"/>
      <c r="B92" s="27" t="s">
        <v>99</v>
      </c>
      <c r="C92" s="17">
        <v>0</v>
      </c>
      <c r="D92" s="28">
        <v>0</v>
      </c>
      <c r="E92" s="28">
        <v>0</v>
      </c>
      <c r="F92" s="28">
        <v>484442</v>
      </c>
      <c r="G92" s="28">
        <v>0</v>
      </c>
      <c r="H92" s="18">
        <v>0</v>
      </c>
      <c r="I92" s="28">
        <v>686437</v>
      </c>
      <c r="J92" s="18">
        <v>0</v>
      </c>
      <c r="K92" s="18">
        <v>633251</v>
      </c>
      <c r="L92" s="18">
        <v>2614962</v>
      </c>
      <c r="M92" s="18">
        <v>352607</v>
      </c>
      <c r="N92" s="28">
        <v>2052610</v>
      </c>
    </row>
    <row r="93" spans="1:14" ht="13.5" customHeight="1">
      <c r="A93" s="218"/>
      <c r="B93" s="27" t="s">
        <v>180</v>
      </c>
      <c r="C93" s="17">
        <v>0</v>
      </c>
      <c r="D93" s="28">
        <v>0</v>
      </c>
      <c r="E93" s="28">
        <v>0</v>
      </c>
      <c r="F93" s="28">
        <v>0</v>
      </c>
      <c r="G93" s="28">
        <v>0</v>
      </c>
      <c r="H93" s="18">
        <v>0</v>
      </c>
      <c r="I93" s="28">
        <v>0</v>
      </c>
      <c r="J93" s="18">
        <v>0</v>
      </c>
      <c r="K93" s="18">
        <v>0</v>
      </c>
      <c r="L93" s="18">
        <v>0</v>
      </c>
      <c r="M93" s="18">
        <v>0</v>
      </c>
      <c r="N93" s="28">
        <v>0</v>
      </c>
    </row>
    <row r="94" spans="1:14" ht="13.5" customHeight="1">
      <c r="A94" s="218"/>
      <c r="B94" s="27" t="s">
        <v>100</v>
      </c>
      <c r="C94" s="17">
        <f>-1687151-200332</f>
        <v>-1887483</v>
      </c>
      <c r="D94" s="28">
        <f>-2176095-72955</f>
        <v>-2249050</v>
      </c>
      <c r="E94" s="28">
        <f>-1373816-107768</f>
        <v>-1481584</v>
      </c>
      <c r="F94" s="28">
        <f>-18698-242221</f>
        <v>-260919</v>
      </c>
      <c r="G94" s="28">
        <v>0</v>
      </c>
      <c r="H94" s="18">
        <f>-76731-7781</f>
        <v>-84512</v>
      </c>
      <c r="I94" s="28">
        <f>-1593811-123355-320337+-22882</f>
        <v>-2060385</v>
      </c>
      <c r="J94" s="18">
        <f>-1917572-71643</f>
        <v>-1989215</v>
      </c>
      <c r="K94" s="18">
        <f>-2508856-72667-211084</f>
        <v>-2792607</v>
      </c>
      <c r="L94" s="18">
        <f>-119709-1984565</f>
        <v>-2104274</v>
      </c>
      <c r="M94" s="18">
        <f>-8061-246003</f>
        <v>-254064</v>
      </c>
      <c r="N94" s="28">
        <f>-112048-1179798</f>
        <v>-1291846</v>
      </c>
    </row>
    <row r="95" spans="1:14" ht="13.5" customHeight="1">
      <c r="A95" s="218"/>
      <c r="B95" s="27" t="s">
        <v>101</v>
      </c>
      <c r="C95" s="17">
        <v>0</v>
      </c>
      <c r="D95" s="28">
        <v>0</v>
      </c>
      <c r="E95" s="28">
        <v>0</v>
      </c>
      <c r="F95" s="28"/>
      <c r="G95" s="28">
        <v>0</v>
      </c>
      <c r="H95" s="18">
        <v>0</v>
      </c>
      <c r="I95" s="28">
        <v>0</v>
      </c>
      <c r="J95" s="18">
        <v>0</v>
      </c>
      <c r="K95" s="18">
        <v>0</v>
      </c>
      <c r="L95" s="18">
        <v>0</v>
      </c>
      <c r="M95" s="18">
        <v>0</v>
      </c>
      <c r="N95" s="28">
        <v>1</v>
      </c>
    </row>
    <row r="96" spans="1:14" s="20" customFormat="1" ht="13.5" customHeight="1">
      <c r="A96" s="201" t="s">
        <v>102</v>
      </c>
      <c r="B96" s="21"/>
      <c r="C96" s="22">
        <f>SUM(C82:C95)</f>
        <v>899923</v>
      </c>
      <c r="D96" s="22">
        <f t="shared" ref="D96:N96" si="17">SUM(D82:D95)</f>
        <v>1972612</v>
      </c>
      <c r="E96" s="22">
        <f t="shared" si="17"/>
        <v>538801</v>
      </c>
      <c r="F96" s="22">
        <f t="shared" si="17"/>
        <v>1961675</v>
      </c>
      <c r="G96" s="22">
        <f t="shared" si="17"/>
        <v>2663880</v>
      </c>
      <c r="H96" s="22">
        <f t="shared" si="17"/>
        <v>905765</v>
      </c>
      <c r="I96" s="22">
        <f t="shared" si="17"/>
        <v>1218841.8799999999</v>
      </c>
      <c r="J96" s="22">
        <f t="shared" si="17"/>
        <v>418541</v>
      </c>
      <c r="K96" s="22">
        <f t="shared" si="17"/>
        <v>2555930</v>
      </c>
      <c r="L96" s="22">
        <f t="shared" si="17"/>
        <v>1319293</v>
      </c>
      <c r="M96" s="22">
        <f t="shared" si="17"/>
        <v>680413</v>
      </c>
      <c r="N96" s="22">
        <f t="shared" si="17"/>
        <v>1147322</v>
      </c>
    </row>
    <row r="97" spans="1:14" s="20" customFormat="1" ht="13.5" customHeight="1">
      <c r="A97" s="201" t="s">
        <v>207</v>
      </c>
      <c r="B97" s="21"/>
      <c r="C97" s="22">
        <v>87404</v>
      </c>
      <c r="D97" s="22">
        <v>113837</v>
      </c>
      <c r="E97" s="22">
        <v>26125</v>
      </c>
      <c r="F97" s="22">
        <v>96010</v>
      </c>
      <c r="G97" s="22">
        <v>0</v>
      </c>
      <c r="H97" s="22">
        <v>0</v>
      </c>
      <c r="I97" s="22">
        <v>0</v>
      </c>
      <c r="J97" s="22">
        <v>72949</v>
      </c>
      <c r="K97" s="22">
        <v>0</v>
      </c>
      <c r="L97" s="22">
        <v>0</v>
      </c>
      <c r="M97" s="154">
        <v>0</v>
      </c>
      <c r="N97" s="22">
        <v>0</v>
      </c>
    </row>
    <row r="98" spans="1:14" s="41" customFormat="1" ht="13.5" customHeight="1">
      <c r="A98" s="223" t="s">
        <v>204</v>
      </c>
      <c r="B98" s="155"/>
      <c r="C98" s="156">
        <f>+C96+C97</f>
        <v>987327</v>
      </c>
      <c r="D98" s="156">
        <f t="shared" ref="D98:N98" si="18">+D96+D97</f>
        <v>2086449</v>
      </c>
      <c r="E98" s="156">
        <f t="shared" si="18"/>
        <v>564926</v>
      </c>
      <c r="F98" s="156">
        <f t="shared" si="18"/>
        <v>2057685</v>
      </c>
      <c r="G98" s="156">
        <f t="shared" si="18"/>
        <v>2663880</v>
      </c>
      <c r="H98" s="156">
        <f t="shared" si="18"/>
        <v>905765</v>
      </c>
      <c r="I98" s="156">
        <f t="shared" si="18"/>
        <v>1218841.8799999999</v>
      </c>
      <c r="J98" s="156">
        <f t="shared" si="18"/>
        <v>491490</v>
      </c>
      <c r="K98" s="156">
        <f t="shared" si="18"/>
        <v>2555930</v>
      </c>
      <c r="L98" s="156">
        <f t="shared" si="18"/>
        <v>1319293</v>
      </c>
      <c r="M98" s="156">
        <f t="shared" si="18"/>
        <v>680413</v>
      </c>
      <c r="N98" s="156">
        <f t="shared" si="18"/>
        <v>1147322</v>
      </c>
    </row>
    <row r="99" spans="1:14" ht="13.5" customHeight="1">
      <c r="A99" s="213" t="s">
        <v>205</v>
      </c>
      <c r="B99" s="27"/>
      <c r="C99" s="49"/>
      <c r="D99" s="50"/>
      <c r="E99" s="50"/>
      <c r="F99" s="50"/>
      <c r="G99" s="50"/>
      <c r="H99" s="51"/>
      <c r="I99" s="50"/>
      <c r="J99" s="51"/>
      <c r="K99" s="51"/>
      <c r="L99" s="51"/>
      <c r="M99" s="51"/>
      <c r="N99" s="50"/>
    </row>
    <row r="100" spans="1:14" ht="13.5" customHeight="1">
      <c r="A100" s="218"/>
      <c r="B100" s="27" t="s">
        <v>103</v>
      </c>
      <c r="C100" s="17">
        <v>380</v>
      </c>
      <c r="D100" s="28">
        <v>0</v>
      </c>
      <c r="E100" s="28">
        <v>0</v>
      </c>
      <c r="F100" s="28">
        <v>0</v>
      </c>
      <c r="G100" s="28">
        <v>0</v>
      </c>
      <c r="H100" s="18">
        <v>0</v>
      </c>
      <c r="I100" s="28">
        <v>-6917</v>
      </c>
      <c r="J100" s="18">
        <v>0</v>
      </c>
      <c r="K100" s="18">
        <v>0</v>
      </c>
      <c r="L100" s="18">
        <v>945</v>
      </c>
      <c r="M100" s="18">
        <v>-872</v>
      </c>
      <c r="N100" s="28">
        <v>0</v>
      </c>
    </row>
    <row r="101" spans="1:14" ht="13.5" customHeight="1">
      <c r="A101" s="218"/>
      <c r="B101" s="27" t="s">
        <v>104</v>
      </c>
      <c r="C101" s="17">
        <v>8861</v>
      </c>
      <c r="D101" s="28">
        <v>48302</v>
      </c>
      <c r="E101" s="28">
        <v>3623</v>
      </c>
      <c r="F101" s="28">
        <v>12401</v>
      </c>
      <c r="G101" s="28">
        <v>16833</v>
      </c>
      <c r="H101" s="18">
        <v>103693</v>
      </c>
      <c r="I101" s="28">
        <v>0</v>
      </c>
      <c r="J101" s="18">
        <v>0</v>
      </c>
      <c r="K101" s="18">
        <v>6312</v>
      </c>
      <c r="L101" s="18">
        <v>6215</v>
      </c>
      <c r="M101" s="18">
        <v>9640</v>
      </c>
      <c r="N101" s="28">
        <v>264</v>
      </c>
    </row>
    <row r="102" spans="1:14" ht="13.5" customHeight="1">
      <c r="A102" s="218"/>
      <c r="B102" s="27" t="s">
        <v>105</v>
      </c>
      <c r="C102" s="17">
        <v>8627</v>
      </c>
      <c r="D102" s="28">
        <v>8929</v>
      </c>
      <c r="E102" s="28">
        <v>214</v>
      </c>
      <c r="F102" s="28">
        <v>2442</v>
      </c>
      <c r="G102" s="28">
        <v>0</v>
      </c>
      <c r="H102" s="18">
        <v>8314</v>
      </c>
      <c r="I102" s="28">
        <v>-4652.62</v>
      </c>
      <c r="J102" s="18">
        <v>4123</v>
      </c>
      <c r="K102" s="18">
        <v>163</v>
      </c>
      <c r="L102" s="18">
        <v>944</v>
      </c>
      <c r="M102" s="18">
        <v>1657</v>
      </c>
      <c r="N102" s="28">
        <v>271</v>
      </c>
    </row>
    <row r="103" spans="1:14" ht="13.5" customHeight="1">
      <c r="A103" s="218"/>
      <c r="B103" s="27" t="s">
        <v>106</v>
      </c>
      <c r="C103" s="17">
        <v>0</v>
      </c>
      <c r="D103" s="28">
        <v>15875</v>
      </c>
      <c r="E103" s="28">
        <v>0</v>
      </c>
      <c r="F103" s="28">
        <v>0</v>
      </c>
      <c r="G103" s="28">
        <v>0</v>
      </c>
      <c r="H103" s="18">
        <v>0</v>
      </c>
      <c r="I103" s="28">
        <v>2923.9</v>
      </c>
      <c r="J103" s="18">
        <v>0</v>
      </c>
      <c r="K103" s="18">
        <v>8042</v>
      </c>
      <c r="L103" s="18">
        <v>62145</v>
      </c>
      <c r="M103" s="18">
        <v>0</v>
      </c>
      <c r="N103" s="28">
        <v>3577</v>
      </c>
    </row>
    <row r="104" spans="1:14" ht="13.5" customHeight="1">
      <c r="A104" s="218"/>
      <c r="B104" s="27" t="s">
        <v>107</v>
      </c>
      <c r="C104" s="17">
        <v>-4172</v>
      </c>
      <c r="D104" s="28">
        <v>0</v>
      </c>
      <c r="E104" s="28">
        <v>0</v>
      </c>
      <c r="F104" s="28">
        <v>0</v>
      </c>
      <c r="G104" s="28">
        <v>761</v>
      </c>
      <c r="H104" s="18">
        <v>494133</v>
      </c>
      <c r="I104" s="28">
        <v>-65</v>
      </c>
      <c r="J104" s="18">
        <v>0</v>
      </c>
      <c r="K104" s="18">
        <v>0</v>
      </c>
      <c r="L104" s="18">
        <v>0</v>
      </c>
      <c r="M104" s="18">
        <v>3294</v>
      </c>
      <c r="N104" s="28">
        <v>139</v>
      </c>
    </row>
    <row r="105" spans="1:14" ht="13.5" customHeight="1">
      <c r="A105" s="218"/>
      <c r="B105" s="27" t="s">
        <v>108</v>
      </c>
      <c r="C105" s="17">
        <v>8370</v>
      </c>
      <c r="D105" s="28">
        <v>26205</v>
      </c>
      <c r="E105" s="28">
        <v>400</v>
      </c>
      <c r="F105" s="28">
        <v>0</v>
      </c>
      <c r="G105" s="28">
        <v>0</v>
      </c>
      <c r="H105" s="18">
        <v>0</v>
      </c>
      <c r="I105" s="28">
        <v>-337</v>
      </c>
      <c r="J105" s="18">
        <v>0</v>
      </c>
      <c r="K105" s="18">
        <v>3100</v>
      </c>
      <c r="L105" s="18">
        <v>0</v>
      </c>
      <c r="M105" s="18">
        <v>970</v>
      </c>
      <c r="N105" s="28">
        <v>0</v>
      </c>
    </row>
    <row r="106" spans="1:14" ht="13.5" customHeight="1">
      <c r="A106" s="218"/>
      <c r="B106" s="27" t="s">
        <v>109</v>
      </c>
      <c r="C106" s="17">
        <v>22665</v>
      </c>
      <c r="D106" s="28">
        <v>15266</v>
      </c>
      <c r="E106" s="28">
        <v>0</v>
      </c>
      <c r="F106" s="28">
        <v>12144</v>
      </c>
      <c r="G106" s="28">
        <v>0</v>
      </c>
      <c r="H106" s="18">
        <v>0</v>
      </c>
      <c r="I106" s="28">
        <v>-1526.06</v>
      </c>
      <c r="J106" s="18">
        <v>12808</v>
      </c>
      <c r="K106" s="18">
        <v>24861</v>
      </c>
      <c r="L106" s="18">
        <v>1631</v>
      </c>
      <c r="M106" s="18">
        <v>0</v>
      </c>
      <c r="N106" s="28">
        <v>2605</v>
      </c>
    </row>
    <row r="107" spans="1:14" ht="13.5" customHeight="1">
      <c r="A107" s="218"/>
      <c r="B107" s="27" t="s">
        <v>110</v>
      </c>
      <c r="C107" s="17">
        <v>0</v>
      </c>
      <c r="D107" s="28">
        <v>0</v>
      </c>
      <c r="E107" s="28">
        <v>0</v>
      </c>
      <c r="F107" s="28">
        <v>0</v>
      </c>
      <c r="G107" s="28">
        <v>0</v>
      </c>
      <c r="H107" s="18">
        <v>0</v>
      </c>
      <c r="I107" s="28">
        <v>49977.96</v>
      </c>
      <c r="J107" s="18">
        <v>0</v>
      </c>
      <c r="K107" s="18">
        <v>160067</v>
      </c>
      <c r="L107" s="18">
        <v>0</v>
      </c>
      <c r="M107" s="18">
        <v>0</v>
      </c>
      <c r="N107" s="28">
        <v>0</v>
      </c>
    </row>
    <row r="108" spans="1:14" ht="13.5" customHeight="1">
      <c r="A108" s="218"/>
      <c r="B108" s="27" t="s">
        <v>210</v>
      </c>
      <c r="C108" s="17">
        <v>317580</v>
      </c>
      <c r="D108" s="28">
        <v>464738</v>
      </c>
      <c r="E108" s="28">
        <v>216488</v>
      </c>
      <c r="F108" s="28">
        <v>364769</v>
      </c>
      <c r="G108" s="28">
        <v>0</v>
      </c>
      <c r="H108" s="18">
        <v>0</v>
      </c>
      <c r="I108" s="28">
        <v>0</v>
      </c>
      <c r="J108" s="18">
        <v>300451</v>
      </c>
      <c r="K108" s="18">
        <v>0</v>
      </c>
      <c r="L108" s="18">
        <v>159686</v>
      </c>
      <c r="M108" s="18">
        <v>0</v>
      </c>
      <c r="N108" s="28">
        <v>0</v>
      </c>
    </row>
    <row r="109" spans="1:14" ht="13.5" customHeight="1">
      <c r="A109" s="201" t="s">
        <v>209</v>
      </c>
      <c r="B109" s="21"/>
      <c r="C109" s="22">
        <f>SUM(C100:C108)</f>
        <v>362311</v>
      </c>
      <c r="D109" s="22">
        <f t="shared" ref="D109:N109" si="19">SUM(D100:D108)</f>
        <v>579315</v>
      </c>
      <c r="E109" s="22">
        <f t="shared" si="19"/>
        <v>220725</v>
      </c>
      <c r="F109" s="22">
        <f t="shared" si="19"/>
        <v>391756</v>
      </c>
      <c r="G109" s="22">
        <f t="shared" si="19"/>
        <v>17594</v>
      </c>
      <c r="H109" s="22">
        <f t="shared" si="19"/>
        <v>606140</v>
      </c>
      <c r="I109" s="22">
        <f t="shared" si="19"/>
        <v>39404.18</v>
      </c>
      <c r="J109" s="22">
        <f t="shared" si="19"/>
        <v>317382</v>
      </c>
      <c r="K109" s="22">
        <f t="shared" si="19"/>
        <v>202545</v>
      </c>
      <c r="L109" s="22">
        <f t="shared" si="19"/>
        <v>231566</v>
      </c>
      <c r="M109" s="22">
        <f t="shared" si="19"/>
        <v>14689</v>
      </c>
      <c r="N109" s="22">
        <f t="shared" si="19"/>
        <v>6856</v>
      </c>
    </row>
    <row r="110" spans="1:14" ht="13.5" customHeight="1">
      <c r="A110" s="201" t="s">
        <v>208</v>
      </c>
      <c r="B110" s="21"/>
      <c r="C110" s="22">
        <v>729</v>
      </c>
      <c r="D110" s="22">
        <v>1067</v>
      </c>
      <c r="E110" s="22">
        <v>497</v>
      </c>
      <c r="F110" s="22">
        <v>838</v>
      </c>
      <c r="G110" s="22">
        <v>0</v>
      </c>
      <c r="H110" s="22">
        <v>0</v>
      </c>
      <c r="I110" s="22">
        <v>0</v>
      </c>
      <c r="J110" s="22">
        <v>690</v>
      </c>
      <c r="K110" s="22">
        <v>0</v>
      </c>
      <c r="L110" s="22">
        <v>0</v>
      </c>
      <c r="M110" s="154">
        <v>0</v>
      </c>
      <c r="N110" s="22">
        <v>0</v>
      </c>
    </row>
    <row r="111" spans="1:14" s="20" customFormat="1" ht="13.5" customHeight="1">
      <c r="A111" s="223" t="s">
        <v>206</v>
      </c>
      <c r="B111" s="155"/>
      <c r="C111" s="156">
        <f>+C109+C110</f>
        <v>363040</v>
      </c>
      <c r="D111" s="156">
        <f t="shared" ref="D111:N111" si="20">+D109+D110</f>
        <v>580382</v>
      </c>
      <c r="E111" s="156">
        <f t="shared" si="20"/>
        <v>221222</v>
      </c>
      <c r="F111" s="156">
        <f t="shared" si="20"/>
        <v>392594</v>
      </c>
      <c r="G111" s="156">
        <f t="shared" si="20"/>
        <v>17594</v>
      </c>
      <c r="H111" s="156">
        <f t="shared" si="20"/>
        <v>606140</v>
      </c>
      <c r="I111" s="156">
        <f t="shared" si="20"/>
        <v>39404.18</v>
      </c>
      <c r="J111" s="156">
        <f t="shared" si="20"/>
        <v>318072</v>
      </c>
      <c r="K111" s="156">
        <f t="shared" si="20"/>
        <v>202545</v>
      </c>
      <c r="L111" s="156">
        <f t="shared" si="20"/>
        <v>231566</v>
      </c>
      <c r="M111" s="156">
        <f t="shared" si="20"/>
        <v>14689</v>
      </c>
      <c r="N111" s="156">
        <f t="shared" si="20"/>
        <v>6856</v>
      </c>
    </row>
    <row r="112" spans="1:14" ht="13.5" customHeight="1">
      <c r="A112" s="213" t="s">
        <v>111</v>
      </c>
      <c r="B112" s="27"/>
      <c r="C112" s="49"/>
      <c r="D112" s="50"/>
      <c r="E112" s="50"/>
      <c r="F112" s="50"/>
      <c r="G112" s="28"/>
      <c r="H112" s="51"/>
      <c r="I112" s="50"/>
      <c r="J112" s="51"/>
      <c r="K112" s="51"/>
      <c r="L112" s="51"/>
      <c r="M112" s="51"/>
      <c r="N112" s="50"/>
    </row>
    <row r="113" spans="1:14" ht="13.5" customHeight="1">
      <c r="A113" s="218"/>
      <c r="B113" s="27" t="s">
        <v>112</v>
      </c>
      <c r="C113" s="17">
        <v>0</v>
      </c>
      <c r="D113" s="28">
        <v>129434</v>
      </c>
      <c r="E113" s="28">
        <v>0</v>
      </c>
      <c r="F113" s="28"/>
      <c r="G113" s="28">
        <v>-20800</v>
      </c>
      <c r="H113" s="18">
        <v>168985</v>
      </c>
      <c r="I113" s="28">
        <v>184.15</v>
      </c>
      <c r="J113" s="18"/>
      <c r="K113" s="18">
        <v>155165</v>
      </c>
      <c r="L113" s="18">
        <v>0</v>
      </c>
      <c r="M113" s="18">
        <v>70432</v>
      </c>
      <c r="N113" s="28">
        <v>39896</v>
      </c>
    </row>
    <row r="114" spans="1:14" ht="13.5" customHeight="1">
      <c r="A114" s="218"/>
      <c r="B114" s="27" t="s">
        <v>39</v>
      </c>
      <c r="C114" s="17">
        <f t="shared" ref="C114:N115" si="21">C61</f>
        <v>122862</v>
      </c>
      <c r="D114" s="17">
        <f t="shared" si="21"/>
        <v>241409</v>
      </c>
      <c r="E114" s="17">
        <f t="shared" si="21"/>
        <v>41877</v>
      </c>
      <c r="F114" s="17">
        <f t="shared" si="21"/>
        <v>-1279015</v>
      </c>
      <c r="G114" s="17">
        <f>G61</f>
        <v>-332914</v>
      </c>
      <c r="H114" s="17">
        <f t="shared" ref="H114:N114" si="22">H61</f>
        <v>128695</v>
      </c>
      <c r="I114" s="17">
        <f t="shared" si="22"/>
        <v>186181.12</v>
      </c>
      <c r="J114" s="17">
        <f t="shared" si="22"/>
        <v>62539</v>
      </c>
      <c r="K114" s="17">
        <f t="shared" si="22"/>
        <v>-25295</v>
      </c>
      <c r="L114" s="17">
        <f t="shared" si="22"/>
        <v>591020</v>
      </c>
      <c r="M114" s="17">
        <f t="shared" si="22"/>
        <v>427310</v>
      </c>
      <c r="N114" s="17">
        <f t="shared" si="22"/>
        <v>172409</v>
      </c>
    </row>
    <row r="115" spans="1:14" ht="13.5" customHeight="1">
      <c r="A115" s="218"/>
      <c r="B115" s="27" t="s">
        <v>212</v>
      </c>
      <c r="C115" s="17">
        <f t="shared" si="21"/>
        <v>-230905</v>
      </c>
      <c r="D115" s="17">
        <f t="shared" si="21"/>
        <v>-351969</v>
      </c>
      <c r="E115" s="17">
        <f t="shared" si="21"/>
        <v>-190860</v>
      </c>
      <c r="F115" s="17">
        <f t="shared" si="21"/>
        <v>-269596</v>
      </c>
      <c r="G115" s="17">
        <f t="shared" si="21"/>
        <v>0</v>
      </c>
      <c r="H115" s="17">
        <f t="shared" si="21"/>
        <v>0</v>
      </c>
      <c r="I115" s="17">
        <f t="shared" si="21"/>
        <v>0</v>
      </c>
      <c r="J115" s="17">
        <f t="shared" si="21"/>
        <v>-228192</v>
      </c>
      <c r="K115" s="17">
        <f t="shared" si="21"/>
        <v>0</v>
      </c>
      <c r="L115" s="17">
        <f t="shared" si="21"/>
        <v>-159686</v>
      </c>
      <c r="M115" s="17">
        <f t="shared" si="21"/>
        <v>0</v>
      </c>
      <c r="N115" s="17">
        <f t="shared" si="21"/>
        <v>0</v>
      </c>
    </row>
    <row r="116" spans="1:14" ht="13.5" customHeight="1">
      <c r="A116" s="218"/>
      <c r="B116" s="27" t="s">
        <v>40</v>
      </c>
      <c r="C116" s="17">
        <f t="shared" ref="C116:F116" si="23">C63</f>
        <v>0</v>
      </c>
      <c r="D116" s="17">
        <f t="shared" si="23"/>
        <v>0</v>
      </c>
      <c r="E116" s="17">
        <f t="shared" si="23"/>
        <v>0</v>
      </c>
      <c r="F116" s="17">
        <f t="shared" si="23"/>
        <v>2971485</v>
      </c>
      <c r="G116" s="17">
        <f>G63</f>
        <v>3000000</v>
      </c>
      <c r="H116" s="17">
        <f t="shared" ref="H116:N116" si="24">H63</f>
        <v>0</v>
      </c>
      <c r="I116" s="17">
        <f t="shared" si="24"/>
        <v>0</v>
      </c>
      <c r="J116" s="17">
        <f t="shared" si="24"/>
        <v>0</v>
      </c>
      <c r="K116" s="17">
        <f t="shared" si="24"/>
        <v>0</v>
      </c>
      <c r="L116" s="17">
        <f t="shared" si="24"/>
        <v>0</v>
      </c>
      <c r="M116" s="17">
        <f t="shared" si="24"/>
        <v>0</v>
      </c>
      <c r="N116" s="17">
        <f t="shared" si="24"/>
        <v>0</v>
      </c>
    </row>
    <row r="117" spans="1:14" ht="13.5" customHeight="1">
      <c r="A117" s="218"/>
      <c r="B117" s="27" t="s">
        <v>113</v>
      </c>
      <c r="C117" s="17">
        <f t="shared" ref="C117:F117" si="25">C64</f>
        <v>732329</v>
      </c>
      <c r="D117" s="17">
        <f t="shared" si="25"/>
        <v>1487195</v>
      </c>
      <c r="E117" s="17">
        <f t="shared" si="25"/>
        <v>492687</v>
      </c>
      <c r="F117" s="17">
        <f t="shared" si="25"/>
        <v>242221</v>
      </c>
      <c r="G117" s="17">
        <f>G64</f>
        <v>0</v>
      </c>
      <c r="H117" s="17">
        <f t="shared" ref="H117:N117" si="26">H64</f>
        <v>1945</v>
      </c>
      <c r="I117" s="17">
        <f t="shared" si="26"/>
        <v>993072.43</v>
      </c>
      <c r="J117" s="17">
        <f t="shared" si="26"/>
        <v>339070</v>
      </c>
      <c r="K117" s="17">
        <f t="shared" si="26"/>
        <v>2223515</v>
      </c>
      <c r="L117" s="17">
        <f t="shared" si="26"/>
        <v>656393</v>
      </c>
      <c r="M117" s="17">
        <f t="shared" si="26"/>
        <v>167983</v>
      </c>
      <c r="N117" s="17">
        <f t="shared" si="26"/>
        <v>928161</v>
      </c>
    </row>
    <row r="118" spans="1:14" ht="13.5" customHeight="1">
      <c r="A118" s="224"/>
      <c r="B118" s="54" t="s">
        <v>101</v>
      </c>
      <c r="C118" s="55">
        <v>1</v>
      </c>
      <c r="D118" s="56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1</v>
      </c>
      <c r="K118" s="56"/>
      <c r="L118" s="57">
        <v>0</v>
      </c>
      <c r="M118" s="57">
        <v>-1</v>
      </c>
      <c r="N118" s="28">
        <v>0</v>
      </c>
    </row>
    <row r="119" spans="1:14" s="20" customFormat="1" ht="13.5" customHeight="1">
      <c r="A119" s="201" t="s">
        <v>43</v>
      </c>
      <c r="B119" s="58"/>
      <c r="C119" s="59">
        <f t="shared" ref="C119:K119" si="27">SUM(C113:C118)</f>
        <v>624287</v>
      </c>
      <c r="D119" s="59">
        <f t="shared" si="27"/>
        <v>1506069</v>
      </c>
      <c r="E119" s="59">
        <f t="shared" si="27"/>
        <v>343704</v>
      </c>
      <c r="F119" s="59">
        <f t="shared" si="27"/>
        <v>1665095</v>
      </c>
      <c r="G119" s="59">
        <f t="shared" si="27"/>
        <v>2646286</v>
      </c>
      <c r="H119" s="59">
        <f>SUM(H113:H118)</f>
        <v>299625</v>
      </c>
      <c r="I119" s="59">
        <f t="shared" si="27"/>
        <v>1179437.7</v>
      </c>
      <c r="J119" s="59">
        <f t="shared" ref="J119" si="28">SUM(J113:J118)</f>
        <v>173418</v>
      </c>
      <c r="K119" s="59">
        <f t="shared" si="27"/>
        <v>2353385</v>
      </c>
      <c r="L119" s="59">
        <f>SUM(L113:L118)</f>
        <v>1087727</v>
      </c>
      <c r="M119" s="59">
        <f>SUM(M113:M118)</f>
        <v>665724</v>
      </c>
      <c r="N119" s="22">
        <f>SUM(N113:N118)</f>
        <v>1140466</v>
      </c>
    </row>
    <row r="120" spans="1:14" s="40" customFormat="1" ht="13.5" customHeight="1">
      <c r="A120" s="223" t="s">
        <v>211</v>
      </c>
      <c r="B120" s="155"/>
      <c r="C120" s="156">
        <f t="shared" ref="C120:L120" si="29">SUM(C111:C118)</f>
        <v>987327</v>
      </c>
      <c r="D120" s="156">
        <f t="shared" si="29"/>
        <v>2086451</v>
      </c>
      <c r="E120" s="156">
        <f t="shared" si="29"/>
        <v>564926</v>
      </c>
      <c r="F120" s="156">
        <f t="shared" si="29"/>
        <v>2057689</v>
      </c>
      <c r="G120" s="156">
        <f t="shared" si="29"/>
        <v>2663880</v>
      </c>
      <c r="H120" s="156">
        <f>SUM(H111:H118)</f>
        <v>905765</v>
      </c>
      <c r="I120" s="156">
        <f t="shared" si="29"/>
        <v>1218841.8800000001</v>
      </c>
      <c r="J120" s="156">
        <f t="shared" ref="J120" si="30">SUM(J111:J118)</f>
        <v>491490</v>
      </c>
      <c r="K120" s="156">
        <f t="shared" si="29"/>
        <v>2555930</v>
      </c>
      <c r="L120" s="156">
        <f t="shared" si="29"/>
        <v>1319293</v>
      </c>
      <c r="M120" s="156">
        <f>SUM(M111:M118)</f>
        <v>680413</v>
      </c>
      <c r="N120" s="156">
        <f>SUM(N111:N118)</f>
        <v>1147322</v>
      </c>
    </row>
    <row r="121" spans="1:14" s="37" customFormat="1" ht="13.5" hidden="1" customHeight="1">
      <c r="A121" s="153"/>
      <c r="B121" s="47" t="s">
        <v>83</v>
      </c>
      <c r="C121" s="62">
        <f t="shared" ref="C121:N121" si="31">+C98-C120</f>
        <v>0</v>
      </c>
      <c r="D121" s="62">
        <f t="shared" si="31"/>
        <v>-2</v>
      </c>
      <c r="E121" s="43">
        <f t="shared" si="31"/>
        <v>0</v>
      </c>
      <c r="F121" s="62">
        <f t="shared" si="31"/>
        <v>-4</v>
      </c>
      <c r="G121" s="62">
        <f t="shared" si="31"/>
        <v>0</v>
      </c>
      <c r="H121" s="62">
        <f t="shared" si="31"/>
        <v>0</v>
      </c>
      <c r="I121" s="62">
        <f t="shared" si="31"/>
        <v>0</v>
      </c>
      <c r="J121" s="62">
        <f t="shared" si="31"/>
        <v>0</v>
      </c>
      <c r="K121" s="62">
        <f t="shared" si="31"/>
        <v>0</v>
      </c>
      <c r="L121" s="62">
        <f t="shared" si="31"/>
        <v>0</v>
      </c>
      <c r="M121" s="62">
        <f t="shared" si="31"/>
        <v>0</v>
      </c>
      <c r="N121" s="62">
        <f t="shared" si="31"/>
        <v>0</v>
      </c>
    </row>
    <row r="122" spans="1:14" s="37" customFormat="1" ht="17.25" customHeight="1">
      <c r="A122" s="153"/>
      <c r="B122" s="47"/>
      <c r="C122" s="62"/>
      <c r="D122" s="62"/>
      <c r="E122" s="43"/>
      <c r="F122" s="62"/>
      <c r="G122" s="62"/>
      <c r="H122" s="62"/>
      <c r="I122" s="62"/>
      <c r="J122" s="62"/>
      <c r="K122" s="62"/>
      <c r="L122" s="62"/>
      <c r="M122" s="62"/>
      <c r="N122" s="62"/>
    </row>
    <row r="123" spans="1:14" s="37" customFormat="1" ht="30.75" customHeight="1">
      <c r="A123" s="262" t="s">
        <v>114</v>
      </c>
      <c r="B123" s="263"/>
      <c r="C123" s="256">
        <f t="shared" ref="C123:I123" si="32">C56/(C32)</f>
        <v>-0.17238011088347527</v>
      </c>
      <c r="D123" s="256">
        <f t="shared" si="32"/>
        <v>3.3294600972301629E-2</v>
      </c>
      <c r="E123" s="256">
        <f t="shared" si="32"/>
        <v>1.8452465264811549E-2</v>
      </c>
      <c r="F123" s="256">
        <f t="shared" si="32"/>
        <v>-11.359193911088047</v>
      </c>
      <c r="G123" s="256">
        <f t="shared" si="32"/>
        <v>-2.2605152966916897</v>
      </c>
      <c r="H123" s="256">
        <f t="shared" si="32"/>
        <v>1.2608235441408379E-2</v>
      </c>
      <c r="I123" s="256">
        <f t="shared" si="32"/>
        <v>7.4209585156881627E-2</v>
      </c>
      <c r="J123" s="256">
        <f t="shared" ref="J123" si="33">J56/(J32)</f>
        <v>-2.3072940154665864E-2</v>
      </c>
      <c r="K123" s="256">
        <f>K56/(K32)</f>
        <v>-0.34506455506141137</v>
      </c>
      <c r="L123" s="256">
        <f>L56/(L32)</f>
        <v>-0.10854924367941679</v>
      </c>
      <c r="M123" s="256">
        <f>M56/(M32)</f>
        <v>-0.15022040724685629</v>
      </c>
      <c r="N123" s="256">
        <f>N56/(N32)</f>
        <v>-0.93488425852956325</v>
      </c>
    </row>
    <row r="124" spans="1:14" s="37" customFormat="1" ht="24">
      <c r="A124" s="192"/>
      <c r="B124" s="193" t="s">
        <v>115</v>
      </c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</row>
    <row r="125" spans="1:14" s="102" customFormat="1" ht="14.25">
      <c r="A125" s="194" t="s">
        <v>188</v>
      </c>
      <c r="B125" s="195"/>
      <c r="C125" s="253">
        <f>(SUM(C84:C85))/SUM(C100:C105)</f>
        <v>7.5951237197498411</v>
      </c>
      <c r="D125" s="253">
        <f>(SUM(D84:D85))/SUM(D100:D105)</f>
        <v>3.5424474630202094</v>
      </c>
      <c r="E125" s="253">
        <f>(SUM(E84:E85))/SUM(E100:E105)</f>
        <v>10.88364408779797</v>
      </c>
      <c r="F125" s="253">
        <f t="shared" ref="F125:N125" si="34">(SUM(F84:F85))/SUM(F100:F105)</f>
        <v>0.91342720474297645</v>
      </c>
      <c r="G125" s="253">
        <f t="shared" si="34"/>
        <v>1.7366715925883824</v>
      </c>
      <c r="H125" s="253">
        <f t="shared" si="34"/>
        <v>0.67589500775398426</v>
      </c>
      <c r="I125" s="253">
        <f t="shared" si="34"/>
        <v>-19.429383314249336</v>
      </c>
      <c r="J125" s="253">
        <f t="shared" ref="J125" si="35">(SUM(J84:J85))/SUM(J100:J105)</f>
        <v>19.274799902983265</v>
      </c>
      <c r="K125" s="253">
        <f t="shared" si="34"/>
        <v>9.7830504626213308</v>
      </c>
      <c r="L125" s="253">
        <f t="shared" si="34"/>
        <v>9.4364332588364253</v>
      </c>
      <c r="M125" s="253">
        <f t="shared" si="34"/>
        <v>32.841582136292466</v>
      </c>
      <c r="N125" s="253">
        <f t="shared" si="34"/>
        <v>51.554928252175955</v>
      </c>
    </row>
    <row r="126" spans="1:14" s="102" customFormat="1" ht="36">
      <c r="A126" s="196"/>
      <c r="B126" s="197" t="s">
        <v>189</v>
      </c>
      <c r="C126" s="254"/>
      <c r="D126" s="254"/>
      <c r="E126" s="254"/>
      <c r="F126" s="254"/>
      <c r="G126" s="254"/>
      <c r="H126" s="254"/>
      <c r="I126" s="254"/>
      <c r="J126" s="254"/>
      <c r="K126" s="254"/>
      <c r="L126" s="254"/>
      <c r="M126" s="254"/>
      <c r="N126" s="254"/>
    </row>
    <row r="127" spans="1:14" s="102" customFormat="1" ht="14.25">
      <c r="A127" s="194" t="s">
        <v>190</v>
      </c>
      <c r="B127" s="195"/>
      <c r="C127" s="253">
        <f>(SUM(C84:C85))/SUM(C100:C106)</f>
        <v>3.7467080995282913</v>
      </c>
      <c r="D127" s="253">
        <f>(SUM(D84:D85))/SUM(D100:D106)</f>
        <v>3.0704591671976051</v>
      </c>
      <c r="E127" s="253">
        <f>(SUM(E84:E85))/SUM(E100:E106)</f>
        <v>10.88364408779797</v>
      </c>
      <c r="F127" s="253">
        <f t="shared" ref="F127:N127" si="36">(SUM(F84:F85))/SUM(F100:F106)</f>
        <v>0.50239003964871976</v>
      </c>
      <c r="G127" s="253">
        <f t="shared" si="36"/>
        <v>1.7366715925883824</v>
      </c>
      <c r="H127" s="253">
        <f t="shared" si="36"/>
        <v>0.67589500775398426</v>
      </c>
      <c r="I127" s="253">
        <f t="shared" si="36"/>
        <v>-16.625239034668777</v>
      </c>
      <c r="J127" s="253">
        <f t="shared" ref="J127" si="37">(SUM(J84:J85))/SUM(J100:J106)</f>
        <v>4.693757013761739</v>
      </c>
      <c r="K127" s="253">
        <f t="shared" si="36"/>
        <v>4.0573473327369465</v>
      </c>
      <c r="L127" s="253">
        <f t="shared" si="36"/>
        <v>9.2223149693934339</v>
      </c>
      <c r="M127" s="253">
        <f t="shared" si="36"/>
        <v>32.841582136292466</v>
      </c>
      <c r="N127" s="253">
        <f t="shared" si="36"/>
        <v>31.966161026837806</v>
      </c>
    </row>
    <row r="128" spans="1:14" s="102" customFormat="1" ht="24">
      <c r="A128" s="196"/>
      <c r="B128" s="197" t="s">
        <v>191</v>
      </c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</row>
    <row r="129" spans="1:14" s="114" customFormat="1" ht="8.1" customHeight="1">
      <c r="A129" s="116"/>
      <c r="B129" s="117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9"/>
    </row>
    <row r="130" spans="1:14" s="37" customFormat="1" ht="15" customHeight="1">
      <c r="A130" s="199" t="s">
        <v>116</v>
      </c>
      <c r="B130" s="58"/>
      <c r="C130" s="255">
        <f t="shared" ref="C130:N130" si="38">C111/C98</f>
        <v>0.3676998603299616</v>
      </c>
      <c r="D130" s="255">
        <f t="shared" si="38"/>
        <v>0.27816735515701557</v>
      </c>
      <c r="E130" s="255">
        <f t="shared" si="38"/>
        <v>0.3915946513348651</v>
      </c>
      <c r="F130" s="255">
        <f t="shared" si="38"/>
        <v>0.19079402338064377</v>
      </c>
      <c r="G130" s="255">
        <f t="shared" si="38"/>
        <v>6.6046518611949491E-3</v>
      </c>
      <c r="H130" s="255">
        <f t="shared" si="38"/>
        <v>0.66920227652868014</v>
      </c>
      <c r="I130" s="255">
        <f t="shared" si="38"/>
        <v>3.2329197615034368E-2</v>
      </c>
      <c r="J130" s="255">
        <f t="shared" ref="J130" si="39">J111/J98</f>
        <v>0.64715864005371426</v>
      </c>
      <c r="K130" s="255">
        <f t="shared" si="38"/>
        <v>7.9245127996463133E-2</v>
      </c>
      <c r="L130" s="255">
        <f t="shared" si="38"/>
        <v>0.175522798953682</v>
      </c>
      <c r="M130" s="255">
        <f t="shared" si="38"/>
        <v>2.1588358835001684E-2</v>
      </c>
      <c r="N130" s="255">
        <f t="shared" si="38"/>
        <v>5.97565461134712E-3</v>
      </c>
    </row>
    <row r="131" spans="1:14" s="37" customFormat="1" ht="25.5">
      <c r="A131" s="192"/>
      <c r="B131" s="198" t="s">
        <v>117</v>
      </c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</row>
    <row r="132" spans="1:14" s="37" customFormat="1" ht="15" customHeight="1">
      <c r="A132" s="199" t="s">
        <v>118</v>
      </c>
      <c r="B132" s="200"/>
      <c r="C132" s="255">
        <f t="shared" ref="C132:N132" si="40">C119/C98</f>
        <v>0.6323001396700384</v>
      </c>
      <c r="D132" s="255">
        <f t="shared" si="40"/>
        <v>0.72183360340942915</v>
      </c>
      <c r="E132" s="255">
        <f t="shared" si="40"/>
        <v>0.60840534866513485</v>
      </c>
      <c r="F132" s="255">
        <f t="shared" si="40"/>
        <v>0.8092079205514936</v>
      </c>
      <c r="G132" s="255">
        <f t="shared" si="40"/>
        <v>0.99339534813880503</v>
      </c>
      <c r="H132" s="255">
        <f t="shared" si="40"/>
        <v>0.3307977234713198</v>
      </c>
      <c r="I132" s="255">
        <f t="shared" si="40"/>
        <v>0.96767080238496572</v>
      </c>
      <c r="J132" s="255">
        <f t="shared" ref="J132" si="41">J119/J98</f>
        <v>0.35284135994628579</v>
      </c>
      <c r="K132" s="255">
        <f t="shared" si="40"/>
        <v>0.92075487200353689</v>
      </c>
      <c r="L132" s="255">
        <f t="shared" si="40"/>
        <v>0.82447720104631794</v>
      </c>
      <c r="M132" s="255">
        <f t="shared" si="40"/>
        <v>0.97841164116499835</v>
      </c>
      <c r="N132" s="255">
        <f t="shared" si="40"/>
        <v>0.99402434538865292</v>
      </c>
    </row>
    <row r="133" spans="1:14" s="37" customFormat="1" ht="25.5" customHeight="1">
      <c r="A133" s="192"/>
      <c r="B133" s="193" t="s">
        <v>119</v>
      </c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</row>
    <row r="134" spans="1:14" s="37" customFormat="1" ht="15" customHeight="1">
      <c r="A134" s="264" t="s">
        <v>120</v>
      </c>
      <c r="B134" s="265"/>
      <c r="C134" s="255">
        <f t="shared" ref="C134:N134" si="42">C111/C119</f>
        <v>0.58152740646529566</v>
      </c>
      <c r="D134" s="255">
        <f t="shared" si="42"/>
        <v>0.38536215804189583</v>
      </c>
      <c r="E134" s="255">
        <f t="shared" si="42"/>
        <v>0.64364103996462074</v>
      </c>
      <c r="F134" s="255">
        <f t="shared" si="42"/>
        <v>0.23577873935120819</v>
      </c>
      <c r="G134" s="255">
        <f t="shared" si="42"/>
        <v>6.648563307216227E-3</v>
      </c>
      <c r="H134" s="255">
        <f t="shared" si="42"/>
        <v>2.0229954109303296</v>
      </c>
      <c r="I134" s="255">
        <f t="shared" si="42"/>
        <v>3.3409293258982647E-2</v>
      </c>
      <c r="J134" s="255">
        <f t="shared" ref="J134" si="43">J111/J119</f>
        <v>1.8341348648929177</v>
      </c>
      <c r="K134" s="255">
        <f t="shared" si="42"/>
        <v>8.6065390915638543E-2</v>
      </c>
      <c r="L134" s="255">
        <f t="shared" si="42"/>
        <v>0.21288981518340538</v>
      </c>
      <c r="M134" s="255">
        <f t="shared" si="42"/>
        <v>2.2064699485071892E-2</v>
      </c>
      <c r="N134" s="255">
        <f t="shared" si="42"/>
        <v>6.0115777234919761E-3</v>
      </c>
    </row>
    <row r="135" spans="1:14" s="37" customFormat="1">
      <c r="A135" s="192"/>
      <c r="B135" s="193" t="s">
        <v>121</v>
      </c>
      <c r="C135" s="255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</row>
    <row r="136" spans="1:14" s="114" customFormat="1" ht="8.1" customHeight="1">
      <c r="A136" s="120"/>
      <c r="B136" s="121"/>
      <c r="C136" s="122"/>
      <c r="D136" s="122"/>
      <c r="E136" s="123"/>
      <c r="F136" s="122"/>
      <c r="G136" s="122"/>
      <c r="H136" s="122"/>
      <c r="I136" s="122"/>
      <c r="J136" s="122"/>
      <c r="K136" s="122"/>
      <c r="L136" s="122"/>
      <c r="M136" s="122"/>
      <c r="N136" s="124"/>
    </row>
    <row r="137" spans="1:14" s="37" customFormat="1" ht="13.5" customHeight="1">
      <c r="A137" s="201" t="s">
        <v>122</v>
      </c>
      <c r="B137" s="21"/>
      <c r="C137" s="125">
        <v>2</v>
      </c>
      <c r="D137" s="125">
        <v>3</v>
      </c>
      <c r="E137" s="125">
        <v>0</v>
      </c>
      <c r="F137" s="125">
        <v>2</v>
      </c>
      <c r="G137" s="125">
        <v>0</v>
      </c>
      <c r="H137" s="125">
        <v>0</v>
      </c>
      <c r="I137" s="125">
        <v>0</v>
      </c>
      <c r="J137" s="125">
        <v>1</v>
      </c>
      <c r="K137" s="125">
        <v>2</v>
      </c>
      <c r="L137" s="125">
        <v>1</v>
      </c>
      <c r="M137" s="125">
        <v>6</v>
      </c>
      <c r="N137" s="125">
        <v>4</v>
      </c>
    </row>
    <row r="138" spans="1:14" s="115" customFormat="1" ht="8.1" customHeight="1">
      <c r="A138" s="126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7"/>
    </row>
    <row r="139" spans="1:14">
      <c r="A139" s="202" t="s">
        <v>123</v>
      </c>
      <c r="B139" s="202"/>
      <c r="C139" s="45" t="s">
        <v>228</v>
      </c>
      <c r="D139" s="128">
        <v>7402</v>
      </c>
      <c r="E139" s="206" t="s">
        <v>228</v>
      </c>
      <c r="F139" s="45" t="s">
        <v>228</v>
      </c>
      <c r="G139" s="206" t="s">
        <v>228</v>
      </c>
      <c r="H139" s="128">
        <v>40958</v>
      </c>
      <c r="I139" s="128">
        <v>6310</v>
      </c>
      <c r="J139" s="128">
        <v>7468</v>
      </c>
      <c r="K139" s="128">
        <v>13757</v>
      </c>
      <c r="L139" s="63">
        <v>11515</v>
      </c>
      <c r="M139" s="128">
        <v>9637</v>
      </c>
      <c r="N139" s="128">
        <v>3370</v>
      </c>
    </row>
    <row r="140" spans="1:14">
      <c r="A140" s="202" t="s">
        <v>124</v>
      </c>
      <c r="B140" s="202"/>
      <c r="C140" s="206" t="s">
        <v>228</v>
      </c>
      <c r="D140" s="128">
        <v>4435</v>
      </c>
      <c r="E140" s="206" t="s">
        <v>228</v>
      </c>
      <c r="F140" s="206" t="s">
        <v>228</v>
      </c>
      <c r="G140" s="206" t="s">
        <v>228</v>
      </c>
      <c r="H140" s="128">
        <v>48742</v>
      </c>
      <c r="I140" s="128">
        <v>2076</v>
      </c>
      <c r="J140" s="128">
        <v>8559</v>
      </c>
      <c r="K140" s="128">
        <v>2384</v>
      </c>
      <c r="L140" s="128">
        <v>822</v>
      </c>
      <c r="M140" s="128">
        <v>0</v>
      </c>
      <c r="N140" s="128">
        <v>1586</v>
      </c>
    </row>
    <row r="141" spans="1:14">
      <c r="A141" s="202" t="s">
        <v>125</v>
      </c>
      <c r="B141" s="202"/>
      <c r="C141" s="45" t="s">
        <v>228</v>
      </c>
      <c r="D141" s="128">
        <v>11837</v>
      </c>
      <c r="E141" s="206" t="s">
        <v>228</v>
      </c>
      <c r="F141" s="45" t="s">
        <v>228</v>
      </c>
      <c r="G141" s="206" t="s">
        <v>228</v>
      </c>
      <c r="H141" s="128">
        <v>89700</v>
      </c>
      <c r="I141" s="128">
        <v>8386</v>
      </c>
      <c r="J141" s="128">
        <v>16027</v>
      </c>
      <c r="K141" s="128">
        <v>16141</v>
      </c>
      <c r="L141" s="63">
        <v>12337</v>
      </c>
      <c r="M141" s="128">
        <v>9637</v>
      </c>
      <c r="N141" s="128">
        <v>4956</v>
      </c>
    </row>
    <row r="142" spans="1:14">
      <c r="B142" s="44"/>
      <c r="C142" s="44"/>
      <c r="D142" s="44"/>
      <c r="E142" s="44"/>
      <c r="F142" s="44"/>
      <c r="G142" s="44"/>
      <c r="I142" s="44"/>
      <c r="N142" s="44"/>
    </row>
    <row r="143" spans="1:14">
      <c r="B143" s="44"/>
      <c r="C143" s="44"/>
      <c r="D143" s="44"/>
      <c r="E143" s="44"/>
      <c r="F143" s="44"/>
      <c r="G143" s="44"/>
      <c r="I143" s="44"/>
      <c r="N143" s="44"/>
    </row>
    <row r="144" spans="1:14">
      <c r="A144" s="152"/>
      <c r="B144" s="48"/>
      <c r="C144" s="44"/>
      <c r="D144" s="44"/>
      <c r="E144" s="44"/>
      <c r="F144" s="44"/>
      <c r="G144" s="44"/>
      <c r="I144" s="44"/>
    </row>
    <row r="145" spans="1:9">
      <c r="A145" s="152"/>
      <c r="B145" s="48"/>
      <c r="C145" s="44"/>
      <c r="D145" s="44"/>
      <c r="E145" s="44"/>
      <c r="F145" s="44"/>
      <c r="G145" s="44"/>
      <c r="I145" s="44"/>
    </row>
    <row r="151" spans="1:9">
      <c r="C151" s="10"/>
    </row>
    <row r="152" spans="1:9">
      <c r="C152" s="10"/>
    </row>
    <row r="153" spans="1:9">
      <c r="C153" s="10"/>
    </row>
    <row r="154" spans="1:9">
      <c r="C154" s="10"/>
    </row>
    <row r="155" spans="1:9">
      <c r="C155" s="10"/>
    </row>
    <row r="156" spans="1:9">
      <c r="C156" s="10"/>
    </row>
    <row r="157" spans="1:9">
      <c r="C157" s="10"/>
    </row>
    <row r="158" spans="1:9">
      <c r="C158" s="10"/>
    </row>
    <row r="159" spans="1:9">
      <c r="C159" s="10"/>
    </row>
    <row r="160" spans="1:9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2152" spans="5:5">
      <c r="E2152" s="64"/>
    </row>
  </sheetData>
  <mergeCells count="206">
    <mergeCell ref="A1:B3"/>
    <mergeCell ref="C2:C3"/>
    <mergeCell ref="Q75:T75"/>
    <mergeCell ref="U75:X75"/>
    <mergeCell ref="Y75:AB75"/>
    <mergeCell ref="AC75:AF75"/>
    <mergeCell ref="AG75:AJ75"/>
    <mergeCell ref="AK75:AN75"/>
    <mergeCell ref="O75:P75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M75:BP75"/>
    <mergeCell ref="BQ75:BT75"/>
    <mergeCell ref="BU75:BX75"/>
    <mergeCell ref="BY75:CB75"/>
    <mergeCell ref="CC75:CF75"/>
    <mergeCell ref="CG75:CJ75"/>
    <mergeCell ref="AO75:AR75"/>
    <mergeCell ref="AS75:AV75"/>
    <mergeCell ref="AW75:AZ75"/>
    <mergeCell ref="BA75:BD75"/>
    <mergeCell ref="BE75:BH75"/>
    <mergeCell ref="BI75:BL75"/>
    <mergeCell ref="DI75:DL75"/>
    <mergeCell ref="DM75:DP75"/>
    <mergeCell ref="DQ75:DT75"/>
    <mergeCell ref="DU75:DX75"/>
    <mergeCell ref="DY75:EB75"/>
    <mergeCell ref="EC75:EF75"/>
    <mergeCell ref="CK75:CN75"/>
    <mergeCell ref="CO75:CR75"/>
    <mergeCell ref="CS75:CV75"/>
    <mergeCell ref="CW75:CZ75"/>
    <mergeCell ref="DA75:DD75"/>
    <mergeCell ref="DE75:DH75"/>
    <mergeCell ref="FM75:FP75"/>
    <mergeCell ref="FQ75:FT75"/>
    <mergeCell ref="FU75:FX75"/>
    <mergeCell ref="FY75:GB75"/>
    <mergeCell ref="EG75:EJ75"/>
    <mergeCell ref="EK75:EN75"/>
    <mergeCell ref="EO75:ER75"/>
    <mergeCell ref="ES75:EV75"/>
    <mergeCell ref="EW75:EZ75"/>
    <mergeCell ref="FA75:FD75"/>
    <mergeCell ref="HY75:IB75"/>
    <mergeCell ref="IC75:IF75"/>
    <mergeCell ref="IG75:IJ75"/>
    <mergeCell ref="IK75:IN75"/>
    <mergeCell ref="O77:P77"/>
    <mergeCell ref="Q77:T77"/>
    <mergeCell ref="U77:X77"/>
    <mergeCell ref="HA75:HD75"/>
    <mergeCell ref="HE75:HH75"/>
    <mergeCell ref="HI75:HL75"/>
    <mergeCell ref="HM75:HP75"/>
    <mergeCell ref="HQ75:HT75"/>
    <mergeCell ref="HU75:HX75"/>
    <mergeCell ref="GC75:GF75"/>
    <mergeCell ref="GG75:GJ75"/>
    <mergeCell ref="GK75:GN75"/>
    <mergeCell ref="GO75:GR75"/>
    <mergeCell ref="GS75:GV75"/>
    <mergeCell ref="GW75:GZ75"/>
    <mergeCell ref="FE75:FH75"/>
    <mergeCell ref="FI75:FL75"/>
    <mergeCell ref="AW77:AZ77"/>
    <mergeCell ref="BA77:BD77"/>
    <mergeCell ref="BE77:BH77"/>
    <mergeCell ref="BI77:BL77"/>
    <mergeCell ref="BM77:BP77"/>
    <mergeCell ref="BQ77:BT77"/>
    <mergeCell ref="Y77:AB77"/>
    <mergeCell ref="AC77:AF77"/>
    <mergeCell ref="AG77:AJ77"/>
    <mergeCell ref="AK77:AN77"/>
    <mergeCell ref="AO77:AR77"/>
    <mergeCell ref="AS77:AV77"/>
    <mergeCell ref="CS77:CV77"/>
    <mergeCell ref="CW77:CZ77"/>
    <mergeCell ref="DA77:DD77"/>
    <mergeCell ref="DE77:DH77"/>
    <mergeCell ref="DI77:DL77"/>
    <mergeCell ref="DM77:DP77"/>
    <mergeCell ref="BU77:BX77"/>
    <mergeCell ref="BY77:CB77"/>
    <mergeCell ref="CC77:CF77"/>
    <mergeCell ref="CG77:CJ77"/>
    <mergeCell ref="CK77:CN77"/>
    <mergeCell ref="CO77:CR77"/>
    <mergeCell ref="ES77:EV77"/>
    <mergeCell ref="EW77:EZ77"/>
    <mergeCell ref="FA77:FD77"/>
    <mergeCell ref="FE77:FH77"/>
    <mergeCell ref="FI77:FL77"/>
    <mergeCell ref="DQ77:DT77"/>
    <mergeCell ref="DU77:DX77"/>
    <mergeCell ref="DY77:EB77"/>
    <mergeCell ref="EC77:EF77"/>
    <mergeCell ref="EG77:EJ77"/>
    <mergeCell ref="EK77:EN77"/>
    <mergeCell ref="IG77:IJ77"/>
    <mergeCell ref="IK77:IN77"/>
    <mergeCell ref="A78:B79"/>
    <mergeCell ref="A123:B123"/>
    <mergeCell ref="A134:B134"/>
    <mergeCell ref="HI77:HL77"/>
    <mergeCell ref="HM77:HP77"/>
    <mergeCell ref="HQ77:HT77"/>
    <mergeCell ref="HU77:HX77"/>
    <mergeCell ref="HY77:IB77"/>
    <mergeCell ref="IC77:IF77"/>
    <mergeCell ref="GK77:GN77"/>
    <mergeCell ref="GO77:GR77"/>
    <mergeCell ref="GS77:GV77"/>
    <mergeCell ref="GW77:GZ77"/>
    <mergeCell ref="HA77:HD77"/>
    <mergeCell ref="HE77:HH77"/>
    <mergeCell ref="FM77:FP77"/>
    <mergeCell ref="FQ77:FT77"/>
    <mergeCell ref="FU77:FX77"/>
    <mergeCell ref="FY77:GB77"/>
    <mergeCell ref="GC77:GF77"/>
    <mergeCell ref="GG77:GJ77"/>
    <mergeCell ref="EO77:ER77"/>
    <mergeCell ref="L130:L131"/>
    <mergeCell ref="M130:M131"/>
    <mergeCell ref="N130:N131"/>
    <mergeCell ref="C132:C133"/>
    <mergeCell ref="D132:D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C130:C131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N125:N126"/>
    <mergeCell ref="M125:M126"/>
    <mergeCell ref="L125:L126"/>
    <mergeCell ref="K125:K126"/>
    <mergeCell ref="J125:J126"/>
    <mergeCell ref="I125:I126"/>
    <mergeCell ref="H125:H126"/>
    <mergeCell ref="G125:G126"/>
    <mergeCell ref="F125:F126"/>
    <mergeCell ref="I127:I128"/>
    <mergeCell ref="J127:J128"/>
    <mergeCell ref="K127:K128"/>
    <mergeCell ref="L127:L128"/>
    <mergeCell ref="M127:M128"/>
    <mergeCell ref="N127:N128"/>
    <mergeCell ref="E125:E126"/>
    <mergeCell ref="D125:D126"/>
    <mergeCell ref="C125:C126"/>
    <mergeCell ref="C127:C128"/>
    <mergeCell ref="D127:D128"/>
    <mergeCell ref="E127:E128"/>
    <mergeCell ref="F127:F128"/>
    <mergeCell ref="G127:G128"/>
    <mergeCell ref="H127:H128"/>
  </mergeCells>
  <conditionalFormatting sqref="C123:I124 L123:N124">
    <cfRule type="cellIs" dxfId="50" priority="6" operator="lessThan">
      <formula>0</formula>
    </cfRule>
  </conditionalFormatting>
  <conditionalFormatting sqref="J123:J124">
    <cfRule type="cellIs" dxfId="49" priority="5" operator="lessThan">
      <formula>0</formula>
    </cfRule>
  </conditionalFormatting>
  <conditionalFormatting sqref="C66:J66 N66 L66">
    <cfRule type="cellIs" dxfId="48" priority="4" operator="lessThan">
      <formula>0</formula>
    </cfRule>
  </conditionalFormatting>
  <conditionalFormatting sqref="M66">
    <cfRule type="cellIs" dxfId="47" priority="3" operator="lessThan">
      <formula>0</formula>
    </cfRule>
  </conditionalFormatting>
  <conditionalFormatting sqref="K123:K124">
    <cfRule type="cellIs" dxfId="46" priority="2" operator="lessThan">
      <formula>0</formula>
    </cfRule>
  </conditionalFormatting>
  <conditionalFormatting sqref="K66">
    <cfRule type="cellIs" dxfId="45" priority="1" operator="lessThan">
      <formula>0</formula>
    </cfRule>
  </conditionalFormatting>
  <printOptions horizontalCentered="1"/>
  <pageMargins left="0.25" right="0.25" top="0.75" bottom="0.75" header="0.3" footer="0.3"/>
  <pageSetup scale="64" fitToWidth="2" fitToHeight="2" orientation="portrait" r:id="rId1"/>
  <headerFooter alignWithMargins="0">
    <oddHeader>&amp;C&amp;"Arial,Bold"&amp;14CLASS I FAIRS</oddHeader>
    <oddFooter>&amp;CFairs and Expositions</oddFooter>
    <firstFooter>&amp;CDivision of Fairs and Expositions</firstFooter>
  </headerFooter>
  <rowBreaks count="1" manualBreakCount="1">
    <brk id="77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10" width="12.7109375" style="10" customWidth="1"/>
    <col min="11" max="11" width="12.7109375" style="44" customWidth="1"/>
    <col min="12" max="16384" width="9.140625" style="10"/>
  </cols>
  <sheetData>
    <row r="1" spans="1:11" ht="12" customHeight="1">
      <c r="A1" s="266"/>
      <c r="B1" s="267"/>
      <c r="C1" s="211"/>
      <c r="D1" s="211"/>
      <c r="E1" s="211"/>
      <c r="F1" s="211"/>
      <c r="G1" s="211"/>
      <c r="H1" s="211"/>
      <c r="I1" s="211"/>
      <c r="J1" s="211"/>
      <c r="K1" s="211"/>
    </row>
    <row r="2" spans="1:11" ht="12" customHeight="1">
      <c r="A2" s="268"/>
      <c r="B2" s="269"/>
      <c r="C2" s="272" t="s">
        <v>126</v>
      </c>
      <c r="D2" s="272" t="s">
        <v>127</v>
      </c>
      <c r="E2" s="272" t="s">
        <v>128</v>
      </c>
      <c r="F2" s="272" t="s">
        <v>129</v>
      </c>
      <c r="G2" s="272" t="s">
        <v>130</v>
      </c>
      <c r="H2" s="272" t="s">
        <v>131</v>
      </c>
      <c r="I2" s="272" t="s">
        <v>132</v>
      </c>
      <c r="J2" s="272" t="s">
        <v>222</v>
      </c>
      <c r="K2" s="272" t="s">
        <v>223</v>
      </c>
    </row>
    <row r="3" spans="1:11" ht="69" customHeight="1">
      <c r="A3" s="270"/>
      <c r="B3" s="271"/>
      <c r="C3" s="273"/>
      <c r="D3" s="273"/>
      <c r="E3" s="273"/>
      <c r="F3" s="273"/>
      <c r="G3" s="273"/>
      <c r="H3" s="273"/>
      <c r="I3" s="273"/>
      <c r="J3" s="273"/>
      <c r="K3" s="273"/>
    </row>
    <row r="4" spans="1:11" ht="13.5" customHeight="1">
      <c r="A4" s="213" t="s">
        <v>218</v>
      </c>
      <c r="B4" s="11"/>
      <c r="C4" s="35"/>
      <c r="D4" s="35"/>
      <c r="E4" s="35"/>
      <c r="F4" s="35"/>
      <c r="G4" s="35"/>
      <c r="H4" s="35"/>
      <c r="I4" s="34"/>
      <c r="J4" s="34"/>
      <c r="K4" s="36"/>
    </row>
    <row r="5" spans="1:11" ht="13.5" customHeight="1">
      <c r="A5" s="213"/>
      <c r="B5" s="11" t="s">
        <v>39</v>
      </c>
      <c r="C5" s="13">
        <v>118753</v>
      </c>
      <c r="D5" s="13">
        <v>246325</v>
      </c>
      <c r="E5" s="13">
        <v>57573</v>
      </c>
      <c r="F5" s="13">
        <v>107740</v>
      </c>
      <c r="G5" s="13">
        <v>66918</v>
      </c>
      <c r="H5" s="13">
        <v>484161</v>
      </c>
      <c r="I5" s="13">
        <v>106785</v>
      </c>
      <c r="J5" s="13">
        <v>78283</v>
      </c>
      <c r="K5" s="13">
        <v>-128996</v>
      </c>
    </row>
    <row r="6" spans="1:11" ht="13.5" customHeight="1">
      <c r="A6" s="213"/>
      <c r="B6" s="11" t="s">
        <v>217</v>
      </c>
      <c r="C6" s="28">
        <v>-193448</v>
      </c>
      <c r="D6" s="28">
        <v>-400504</v>
      </c>
      <c r="E6" s="28">
        <v>-297560</v>
      </c>
      <c r="F6" s="28">
        <v>-142250</v>
      </c>
      <c r="G6" s="28">
        <v>-186737</v>
      </c>
      <c r="H6" s="28">
        <v>-316659</v>
      </c>
      <c r="I6" s="28">
        <v>0</v>
      </c>
      <c r="J6" s="28">
        <v>0</v>
      </c>
      <c r="K6" s="28">
        <v>0</v>
      </c>
    </row>
    <row r="7" spans="1:11" ht="13.5" customHeight="1">
      <c r="A7" s="213"/>
      <c r="B7" s="11" t="s">
        <v>40</v>
      </c>
      <c r="C7" s="28">
        <v>0</v>
      </c>
      <c r="D7" s="28">
        <v>0</v>
      </c>
      <c r="E7" s="28">
        <v>0</v>
      </c>
      <c r="F7" s="28">
        <v>0</v>
      </c>
      <c r="G7" s="28"/>
      <c r="H7" s="28">
        <v>0</v>
      </c>
      <c r="I7" s="28">
        <v>10547</v>
      </c>
      <c r="J7" s="28">
        <v>1098691</v>
      </c>
      <c r="K7" s="28">
        <v>0</v>
      </c>
    </row>
    <row r="8" spans="1:11" ht="13.5" customHeight="1">
      <c r="A8" s="213"/>
      <c r="B8" s="11" t="s">
        <v>41</v>
      </c>
      <c r="C8" s="16">
        <v>1030534</v>
      </c>
      <c r="D8" s="16">
        <v>995184</v>
      </c>
      <c r="E8" s="16">
        <v>870776</v>
      </c>
      <c r="F8" s="16">
        <v>643259</v>
      </c>
      <c r="G8" s="16">
        <v>1309111</v>
      </c>
      <c r="H8" s="16">
        <v>1604217</v>
      </c>
      <c r="I8" s="16">
        <v>810880</v>
      </c>
      <c r="J8" s="16">
        <v>0</v>
      </c>
      <c r="K8" s="16">
        <v>374376</v>
      </c>
    </row>
    <row r="9" spans="1:11" ht="13.5" customHeight="1">
      <c r="A9" s="213"/>
      <c r="B9" s="11" t="s">
        <v>42</v>
      </c>
      <c r="C9" s="66">
        <v>0</v>
      </c>
      <c r="D9" s="66">
        <v>0</v>
      </c>
      <c r="E9" s="66">
        <v>0</v>
      </c>
      <c r="F9" s="66">
        <v>0</v>
      </c>
      <c r="G9" s="67">
        <v>190</v>
      </c>
      <c r="H9" s="66">
        <v>0</v>
      </c>
      <c r="I9" s="66">
        <v>0</v>
      </c>
      <c r="J9" s="66">
        <v>0</v>
      </c>
      <c r="K9" s="66">
        <v>16614</v>
      </c>
    </row>
    <row r="10" spans="1:11" s="20" customFormat="1" ht="13.5" customHeight="1" thickBot="1">
      <c r="A10" s="214"/>
      <c r="B10" s="84" t="s">
        <v>43</v>
      </c>
      <c r="C10" s="60">
        <f>SUM(C5:C9)</f>
        <v>955839</v>
      </c>
      <c r="D10" s="60">
        <f t="shared" ref="D10:K10" si="0">SUM(D5:D9)</f>
        <v>841005</v>
      </c>
      <c r="E10" s="60">
        <f t="shared" si="0"/>
        <v>630789</v>
      </c>
      <c r="F10" s="60">
        <f t="shared" si="0"/>
        <v>608749</v>
      </c>
      <c r="G10" s="60">
        <f t="shared" si="0"/>
        <v>1189482</v>
      </c>
      <c r="H10" s="60">
        <f t="shared" si="0"/>
        <v>1771719</v>
      </c>
      <c r="I10" s="60">
        <f t="shared" si="0"/>
        <v>928212</v>
      </c>
      <c r="J10" s="60">
        <f t="shared" si="0"/>
        <v>1176974</v>
      </c>
      <c r="K10" s="60">
        <f t="shared" si="0"/>
        <v>261994</v>
      </c>
    </row>
    <row r="11" spans="1:11" s="20" customFormat="1" ht="13.5" customHeight="1">
      <c r="A11" s="192" t="s">
        <v>44</v>
      </c>
      <c r="B11" s="33"/>
      <c r="C11" s="39"/>
      <c r="D11" s="39"/>
      <c r="E11" s="39"/>
      <c r="F11" s="39"/>
      <c r="G11" s="39"/>
      <c r="H11" s="39"/>
      <c r="I11" s="39"/>
      <c r="J11" s="39"/>
      <c r="K11" s="39"/>
    </row>
    <row r="12" spans="1:11" s="20" customFormat="1" ht="13.5" customHeight="1">
      <c r="A12" s="215"/>
      <c r="B12" s="21" t="s">
        <v>45</v>
      </c>
      <c r="C12" s="22">
        <v>45828</v>
      </c>
      <c r="D12" s="22">
        <v>45828</v>
      </c>
      <c r="E12" s="22">
        <v>45828</v>
      </c>
      <c r="F12" s="22">
        <v>45828</v>
      </c>
      <c r="G12" s="22">
        <v>45828</v>
      </c>
      <c r="H12" s="22">
        <v>45828</v>
      </c>
      <c r="I12" s="22">
        <v>45828</v>
      </c>
      <c r="J12" s="22">
        <v>71858</v>
      </c>
      <c r="K12" s="22">
        <v>46274</v>
      </c>
    </row>
    <row r="13" spans="1:11" s="20" customFormat="1" ht="13.5" customHeight="1">
      <c r="A13" s="215"/>
      <c r="B13" s="21" t="s">
        <v>46</v>
      </c>
      <c r="C13" s="22">
        <v>0</v>
      </c>
      <c r="D13" s="22">
        <v>69050</v>
      </c>
      <c r="E13" s="22">
        <v>0</v>
      </c>
      <c r="F13" s="22">
        <v>0</v>
      </c>
      <c r="G13" s="22">
        <v>1150</v>
      </c>
      <c r="H13" s="22">
        <v>38034</v>
      </c>
      <c r="I13" s="22">
        <v>114825</v>
      </c>
      <c r="J13" s="22">
        <v>0</v>
      </c>
      <c r="K13" s="22">
        <v>0</v>
      </c>
    </row>
    <row r="14" spans="1:11" s="20" customFormat="1" ht="13.5" customHeight="1" thickBot="1">
      <c r="A14" s="216"/>
      <c r="B14" s="30" t="s">
        <v>47</v>
      </c>
      <c r="C14" s="31">
        <v>0</v>
      </c>
      <c r="D14" s="31">
        <f>2416+136000+137500</f>
        <v>275916</v>
      </c>
      <c r="E14" s="31">
        <f>269574+2903</f>
        <v>272477</v>
      </c>
      <c r="F14" s="31">
        <v>0</v>
      </c>
      <c r="G14" s="31">
        <v>5681</v>
      </c>
      <c r="H14" s="31">
        <v>2903</v>
      </c>
      <c r="I14" s="31">
        <v>2903</v>
      </c>
      <c r="J14" s="31">
        <v>119758</v>
      </c>
      <c r="K14" s="31">
        <v>143853</v>
      </c>
    </row>
    <row r="15" spans="1:11" ht="13.5" customHeight="1">
      <c r="A15" s="217" t="s">
        <v>48</v>
      </c>
      <c r="B15" s="23"/>
      <c r="C15" s="25"/>
      <c r="D15" s="25"/>
      <c r="E15" s="25"/>
      <c r="F15" s="25"/>
      <c r="G15" s="25"/>
      <c r="H15" s="25"/>
      <c r="I15" s="25"/>
      <c r="J15" s="25"/>
      <c r="K15" s="26"/>
    </row>
    <row r="16" spans="1:11" ht="13.5" customHeight="1">
      <c r="A16" s="218"/>
      <c r="B16" s="27" t="s">
        <v>49</v>
      </c>
      <c r="C16" s="28">
        <v>87793</v>
      </c>
      <c r="D16" s="28">
        <v>100048</v>
      </c>
      <c r="E16" s="28">
        <v>98171</v>
      </c>
      <c r="F16" s="28">
        <v>114482</v>
      </c>
      <c r="G16" s="28">
        <v>89533</v>
      </c>
      <c r="H16" s="28">
        <v>171146</v>
      </c>
      <c r="I16" s="28">
        <v>111771</v>
      </c>
      <c r="J16" s="28">
        <v>66037</v>
      </c>
      <c r="K16" s="18">
        <v>28687</v>
      </c>
    </row>
    <row r="17" spans="1:11" ht="13.5" customHeight="1">
      <c r="A17" s="218"/>
      <c r="B17" s="27" t="s">
        <v>50</v>
      </c>
      <c r="C17" s="28">
        <v>12550</v>
      </c>
      <c r="D17" s="28">
        <v>7031</v>
      </c>
      <c r="E17" s="28">
        <v>17096</v>
      </c>
      <c r="F17" s="28">
        <v>16277</v>
      </c>
      <c r="G17" s="28">
        <v>14775</v>
      </c>
      <c r="H17" s="28">
        <v>25644.5</v>
      </c>
      <c r="I17" s="28">
        <v>24768</v>
      </c>
      <c r="J17" s="28">
        <v>3375</v>
      </c>
      <c r="K17" s="18">
        <v>0</v>
      </c>
    </row>
    <row r="18" spans="1:11" ht="13.5" customHeight="1">
      <c r="A18" s="218"/>
      <c r="B18" s="27" t="s">
        <v>51</v>
      </c>
      <c r="C18" s="28">
        <v>18104</v>
      </c>
      <c r="D18" s="28">
        <v>0</v>
      </c>
      <c r="E18" s="28">
        <v>0</v>
      </c>
      <c r="F18" s="28">
        <v>50995</v>
      </c>
      <c r="G18" s="28">
        <v>84191</v>
      </c>
      <c r="H18" s="28">
        <v>79531.16</v>
      </c>
      <c r="I18" s="28">
        <v>58596</v>
      </c>
      <c r="J18" s="28">
        <v>0</v>
      </c>
      <c r="K18" s="18">
        <v>40222</v>
      </c>
    </row>
    <row r="19" spans="1:11" ht="13.5" customHeight="1">
      <c r="A19" s="218"/>
      <c r="B19" s="27" t="s">
        <v>52</v>
      </c>
      <c r="C19" s="28">
        <v>29042</v>
      </c>
      <c r="D19" s="28">
        <v>73429</v>
      </c>
      <c r="E19" s="28">
        <v>105394</v>
      </c>
      <c r="F19" s="28">
        <v>62555</v>
      </c>
      <c r="G19" s="28">
        <v>44356</v>
      </c>
      <c r="H19" s="28">
        <v>69213.56</v>
      </c>
      <c r="I19" s="28">
        <v>47638</v>
      </c>
      <c r="J19" s="28">
        <v>117106</v>
      </c>
      <c r="K19" s="18">
        <v>39701</v>
      </c>
    </row>
    <row r="20" spans="1:11" ht="13.5" customHeight="1">
      <c r="A20" s="218"/>
      <c r="B20" s="27" t="s">
        <v>53</v>
      </c>
      <c r="C20" s="28">
        <v>10080</v>
      </c>
      <c r="D20" s="28">
        <v>5406</v>
      </c>
      <c r="E20" s="28">
        <v>3805</v>
      </c>
      <c r="F20" s="28">
        <v>24396</v>
      </c>
      <c r="G20" s="28">
        <v>19029</v>
      </c>
      <c r="H20" s="28">
        <v>10693.71</v>
      </c>
      <c r="I20" s="28">
        <v>9707</v>
      </c>
      <c r="J20" s="28">
        <v>6161</v>
      </c>
      <c r="K20" s="18">
        <v>4553</v>
      </c>
    </row>
    <row r="21" spans="1:11" ht="13.5" customHeight="1">
      <c r="A21" s="218"/>
      <c r="B21" s="27" t="s">
        <v>54</v>
      </c>
      <c r="C21" s="28">
        <v>0</v>
      </c>
      <c r="D21" s="28">
        <v>19744</v>
      </c>
      <c r="E21" s="28">
        <v>0</v>
      </c>
      <c r="F21" s="28">
        <v>0</v>
      </c>
      <c r="G21" s="28">
        <v>0</v>
      </c>
      <c r="H21" s="28">
        <v>1224</v>
      </c>
      <c r="I21" s="28">
        <v>0</v>
      </c>
      <c r="J21" s="28">
        <v>8500</v>
      </c>
      <c r="K21" s="18">
        <v>8825</v>
      </c>
    </row>
    <row r="22" spans="1:11" ht="13.5" customHeight="1">
      <c r="A22" s="218"/>
      <c r="B22" s="27" t="s">
        <v>55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18">
        <v>0</v>
      </c>
    </row>
    <row r="23" spans="1:11" ht="13.5" customHeight="1">
      <c r="A23" s="218"/>
      <c r="B23" s="27" t="s">
        <v>56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18">
        <v>0</v>
      </c>
    </row>
    <row r="24" spans="1:11" ht="13.5" customHeight="1">
      <c r="A24" s="218"/>
      <c r="B24" s="27" t="s">
        <v>57</v>
      </c>
      <c r="C24" s="28">
        <v>0</v>
      </c>
      <c r="D24" s="28">
        <v>42914</v>
      </c>
      <c r="E24" s="28">
        <v>52851</v>
      </c>
      <c r="F24" s="28">
        <v>21204</v>
      </c>
      <c r="G24" s="28">
        <v>38619</v>
      </c>
      <c r="H24" s="28">
        <v>0</v>
      </c>
      <c r="I24" s="28">
        <v>36913</v>
      </c>
      <c r="J24" s="28">
        <v>54913</v>
      </c>
      <c r="K24" s="18">
        <v>0</v>
      </c>
    </row>
    <row r="25" spans="1:11" ht="13.5" customHeight="1">
      <c r="A25" s="218"/>
      <c r="B25" s="27" t="s">
        <v>58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23963.55</v>
      </c>
      <c r="I25" s="28">
        <v>0</v>
      </c>
      <c r="J25" s="28">
        <v>0</v>
      </c>
      <c r="K25" s="18">
        <v>0</v>
      </c>
    </row>
    <row r="26" spans="1:11" ht="13.5" customHeight="1">
      <c r="A26" s="218"/>
      <c r="B26" s="27" t="s">
        <v>59</v>
      </c>
      <c r="C26" s="28">
        <v>14857</v>
      </c>
      <c r="D26" s="28">
        <v>0</v>
      </c>
      <c r="E26" s="28">
        <v>1299</v>
      </c>
      <c r="F26" s="28">
        <v>32659</v>
      </c>
      <c r="G26" s="28">
        <v>17045</v>
      </c>
      <c r="H26" s="28">
        <v>0</v>
      </c>
      <c r="I26" s="28">
        <v>0</v>
      </c>
      <c r="J26" s="28">
        <v>59771</v>
      </c>
      <c r="K26" s="18">
        <v>0</v>
      </c>
    </row>
    <row r="27" spans="1:11" ht="13.5" customHeight="1">
      <c r="A27" s="218"/>
      <c r="B27" s="27" t="s">
        <v>60</v>
      </c>
      <c r="C27" s="28">
        <v>70342</v>
      </c>
      <c r="D27" s="28">
        <v>25281</v>
      </c>
      <c r="E27" s="28">
        <v>11660</v>
      </c>
      <c r="F27" s="28">
        <v>94697</v>
      </c>
      <c r="G27" s="28">
        <v>55197</v>
      </c>
      <c r="H27" s="28">
        <v>84959.93</v>
      </c>
      <c r="I27" s="28">
        <v>105249</v>
      </c>
      <c r="J27" s="28">
        <v>39592</v>
      </c>
      <c r="K27" s="18">
        <v>18582</v>
      </c>
    </row>
    <row r="28" spans="1:11" ht="13.5" customHeight="1">
      <c r="A28" s="218"/>
      <c r="B28" s="27" t="s">
        <v>61</v>
      </c>
      <c r="C28" s="28">
        <v>0</v>
      </c>
      <c r="D28" s="28">
        <v>0</v>
      </c>
      <c r="E28" s="28">
        <v>0</v>
      </c>
      <c r="F28" s="28">
        <v>0</v>
      </c>
      <c r="G28" s="28">
        <v>263726</v>
      </c>
      <c r="H28" s="28">
        <v>0</v>
      </c>
      <c r="I28" s="28">
        <v>0</v>
      </c>
      <c r="J28" s="28">
        <v>37815</v>
      </c>
      <c r="K28" s="18">
        <v>0</v>
      </c>
    </row>
    <row r="29" spans="1:11" ht="13.5" customHeight="1">
      <c r="A29" s="218"/>
      <c r="B29" s="27" t="s">
        <v>62</v>
      </c>
      <c r="C29" s="28">
        <v>294870</v>
      </c>
      <c r="D29" s="28">
        <v>379910</v>
      </c>
      <c r="E29" s="28">
        <v>230284</v>
      </c>
      <c r="F29" s="28">
        <v>257783</v>
      </c>
      <c r="G29" s="28">
        <v>154567</v>
      </c>
      <c r="H29" s="28">
        <v>116723.15</v>
      </c>
      <c r="I29" s="28">
        <v>241980</v>
      </c>
      <c r="J29" s="28">
        <v>123129</v>
      </c>
      <c r="K29" s="18">
        <v>185111</v>
      </c>
    </row>
    <row r="30" spans="1:11" ht="13.5" customHeight="1">
      <c r="A30" s="218"/>
      <c r="B30" s="27" t="s">
        <v>63</v>
      </c>
      <c r="C30" s="28">
        <v>907</v>
      </c>
      <c r="D30" s="28">
        <v>214</v>
      </c>
      <c r="E30" s="28">
        <v>1793</v>
      </c>
      <c r="F30" s="28">
        <v>1741</v>
      </c>
      <c r="G30" s="28">
        <v>8519</v>
      </c>
      <c r="H30" s="28">
        <v>0</v>
      </c>
      <c r="I30" s="28">
        <v>2468</v>
      </c>
      <c r="J30" s="28">
        <v>0</v>
      </c>
      <c r="K30" s="18">
        <v>0</v>
      </c>
    </row>
    <row r="31" spans="1:11" ht="13.5" customHeight="1">
      <c r="A31" s="218"/>
      <c r="B31" s="27" t="s">
        <v>64</v>
      </c>
      <c r="C31" s="29">
        <v>131</v>
      </c>
      <c r="D31" s="29">
        <v>32085</v>
      </c>
      <c r="E31" s="29">
        <v>8290</v>
      </c>
      <c r="F31" s="29">
        <v>9724</v>
      </c>
      <c r="G31" s="29">
        <v>557</v>
      </c>
      <c r="H31" s="29">
        <v>1564.53</v>
      </c>
      <c r="I31" s="29">
        <v>1483.5</v>
      </c>
      <c r="J31" s="29">
        <v>6094</v>
      </c>
      <c r="K31" s="16">
        <v>3407</v>
      </c>
    </row>
    <row r="32" spans="1:11" s="20" customFormat="1" ht="13.5" customHeight="1" thickBot="1">
      <c r="A32" s="214" t="s">
        <v>65</v>
      </c>
      <c r="B32" s="30"/>
      <c r="C32" s="31">
        <f t="shared" ref="C32:K32" si="1">SUM(C16:C31)</f>
        <v>538676</v>
      </c>
      <c r="D32" s="31">
        <f>SUM(D16:D31)</f>
        <v>686062</v>
      </c>
      <c r="E32" s="31">
        <f>SUM(E16:E31)</f>
        <v>530643</v>
      </c>
      <c r="F32" s="31">
        <f>SUM(F16:F31)</f>
        <v>686513</v>
      </c>
      <c r="G32" s="31">
        <f t="shared" si="1"/>
        <v>790114</v>
      </c>
      <c r="H32" s="31">
        <f t="shared" si="1"/>
        <v>584664.09000000008</v>
      </c>
      <c r="I32" s="31">
        <f t="shared" si="1"/>
        <v>640573.5</v>
      </c>
      <c r="J32" s="31">
        <f t="shared" si="1"/>
        <v>522493</v>
      </c>
      <c r="K32" s="31">
        <f t="shared" si="1"/>
        <v>329088</v>
      </c>
    </row>
    <row r="33" spans="1:11" ht="13.5" customHeight="1">
      <c r="A33" s="225" t="s">
        <v>66</v>
      </c>
      <c r="B33" s="68"/>
      <c r="C33" s="149"/>
      <c r="D33" s="149"/>
      <c r="E33" s="149"/>
      <c r="F33" s="149"/>
      <c r="G33" s="149"/>
      <c r="H33" s="149"/>
      <c r="I33" s="150"/>
      <c r="J33" s="150"/>
      <c r="K33" s="226"/>
    </row>
    <row r="34" spans="1:11" ht="13.5" customHeight="1">
      <c r="A34" s="218"/>
      <c r="B34" s="27" t="s">
        <v>67</v>
      </c>
      <c r="C34" s="28">
        <v>104064</v>
      </c>
      <c r="D34" s="28">
        <v>349265</v>
      </c>
      <c r="E34" s="28">
        <v>307299</v>
      </c>
      <c r="F34" s="28">
        <v>205399</v>
      </c>
      <c r="G34" s="28">
        <v>321367</v>
      </c>
      <c r="H34" s="28">
        <v>275239.71999999997</v>
      </c>
      <c r="I34" s="28">
        <v>265387</v>
      </c>
      <c r="J34" s="28">
        <v>267940</v>
      </c>
      <c r="K34" s="18">
        <v>157704</v>
      </c>
    </row>
    <row r="35" spans="1:11" ht="13.5" customHeight="1">
      <c r="A35" s="218"/>
      <c r="B35" s="27" t="s">
        <v>68</v>
      </c>
      <c r="C35" s="28">
        <v>137518</v>
      </c>
      <c r="D35" s="28">
        <v>274867</v>
      </c>
      <c r="E35" s="28">
        <v>266348</v>
      </c>
      <c r="F35" s="28">
        <v>299685</v>
      </c>
      <c r="G35" s="28">
        <v>282585</v>
      </c>
      <c r="H35" s="28">
        <v>249936.15</v>
      </c>
      <c r="I35" s="28">
        <v>243075</v>
      </c>
      <c r="J35" s="28">
        <v>48051</v>
      </c>
      <c r="K35" s="18">
        <v>286133</v>
      </c>
    </row>
    <row r="36" spans="1:11" ht="13.5" customHeight="1">
      <c r="A36" s="218"/>
      <c r="B36" s="27" t="s">
        <v>69</v>
      </c>
      <c r="C36" s="28">
        <v>21475</v>
      </c>
      <c r="D36" s="28">
        <v>5060</v>
      </c>
      <c r="E36" s="28">
        <v>14017</v>
      </c>
      <c r="F36" s="28">
        <v>3793</v>
      </c>
      <c r="G36" s="28">
        <v>6247</v>
      </c>
      <c r="H36" s="28">
        <v>22597.79</v>
      </c>
      <c r="I36" s="28">
        <v>28031</v>
      </c>
      <c r="J36" s="28">
        <v>12859</v>
      </c>
      <c r="K36" s="18">
        <v>466</v>
      </c>
    </row>
    <row r="37" spans="1:11" ht="13.5" customHeight="1">
      <c r="A37" s="218"/>
      <c r="B37" s="27" t="s">
        <v>70</v>
      </c>
      <c r="C37" s="28">
        <v>2618</v>
      </c>
      <c r="D37" s="28">
        <v>37977</v>
      </c>
      <c r="E37" s="28">
        <v>19643</v>
      </c>
      <c r="F37" s="28">
        <v>6600</v>
      </c>
      <c r="G37" s="28">
        <v>28518</v>
      </c>
      <c r="H37" s="28">
        <v>48709.26</v>
      </c>
      <c r="I37" s="28">
        <v>43775</v>
      </c>
      <c r="J37" s="28">
        <v>16259</v>
      </c>
      <c r="K37" s="18">
        <v>0</v>
      </c>
    </row>
    <row r="38" spans="1:11" ht="13.5" customHeight="1">
      <c r="A38" s="218"/>
      <c r="B38" s="27" t="s">
        <v>60</v>
      </c>
      <c r="C38" s="28">
        <v>2677</v>
      </c>
      <c r="D38" s="28">
        <v>14139</v>
      </c>
      <c r="E38" s="28">
        <v>6266</v>
      </c>
      <c r="F38" s="28">
        <v>96025</v>
      </c>
      <c r="G38" s="28">
        <v>2827</v>
      </c>
      <c r="H38" s="28">
        <v>6134.75</v>
      </c>
      <c r="I38" s="28">
        <v>15092</v>
      </c>
      <c r="J38" s="28">
        <v>3719</v>
      </c>
      <c r="K38" s="18">
        <v>0</v>
      </c>
    </row>
    <row r="39" spans="1:11" ht="13.5" customHeight="1">
      <c r="A39" s="218"/>
      <c r="B39" s="27" t="s">
        <v>71</v>
      </c>
      <c r="C39" s="28">
        <v>0</v>
      </c>
      <c r="D39" s="28">
        <v>0</v>
      </c>
      <c r="E39" s="28">
        <v>25705</v>
      </c>
      <c r="F39" s="28">
        <v>4603</v>
      </c>
      <c r="G39" s="28">
        <v>26964</v>
      </c>
      <c r="H39" s="28">
        <v>0</v>
      </c>
      <c r="I39" s="28">
        <v>26691</v>
      </c>
      <c r="J39" s="28">
        <v>36542</v>
      </c>
      <c r="K39" s="18">
        <v>0</v>
      </c>
    </row>
    <row r="40" spans="1:11" ht="13.5" customHeight="1">
      <c r="A40" s="218"/>
      <c r="B40" s="27" t="s">
        <v>72</v>
      </c>
      <c r="C40" s="28">
        <v>0</v>
      </c>
      <c r="D40" s="28">
        <v>14133</v>
      </c>
      <c r="E40" s="28">
        <v>6881</v>
      </c>
      <c r="F40" s="28">
        <v>0</v>
      </c>
      <c r="G40" s="28">
        <v>18636</v>
      </c>
      <c r="H40" s="28">
        <v>5893.93</v>
      </c>
      <c r="I40" s="28">
        <v>10446</v>
      </c>
      <c r="J40" s="28">
        <v>6830</v>
      </c>
      <c r="K40" s="18">
        <v>8793</v>
      </c>
    </row>
    <row r="41" spans="1:11" ht="13.5" customHeight="1">
      <c r="A41" s="218"/>
      <c r="B41" s="27" t="s">
        <v>53</v>
      </c>
      <c r="C41" s="28">
        <v>12820</v>
      </c>
      <c r="D41" s="28">
        <v>20267</v>
      </c>
      <c r="E41" s="28">
        <v>15960</v>
      </c>
      <c r="F41" s="28">
        <v>21222</v>
      </c>
      <c r="G41" s="28">
        <v>22161</v>
      </c>
      <c r="H41" s="28">
        <v>36427.839999999997</v>
      </c>
      <c r="I41" s="28">
        <v>20181</v>
      </c>
      <c r="J41" s="28">
        <v>17652</v>
      </c>
      <c r="K41" s="18">
        <v>19085</v>
      </c>
    </row>
    <row r="42" spans="1:11" ht="13.5" customHeight="1">
      <c r="A42" s="218"/>
      <c r="B42" s="27" t="s">
        <v>54</v>
      </c>
      <c r="C42" s="28">
        <v>0</v>
      </c>
      <c r="D42" s="28">
        <v>15808</v>
      </c>
      <c r="E42" s="28">
        <v>659</v>
      </c>
      <c r="F42" s="28">
        <v>0</v>
      </c>
      <c r="G42" s="28">
        <v>0</v>
      </c>
      <c r="H42" s="28">
        <v>1692.86</v>
      </c>
      <c r="I42" s="28">
        <v>0</v>
      </c>
      <c r="J42" s="28">
        <v>3970</v>
      </c>
      <c r="K42" s="18">
        <v>0</v>
      </c>
    </row>
    <row r="43" spans="1:11" ht="13.5" customHeight="1">
      <c r="A43" s="218"/>
      <c r="B43" s="27" t="s">
        <v>55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18">
        <v>0</v>
      </c>
    </row>
    <row r="44" spans="1:11" ht="13.5" customHeight="1">
      <c r="A44" s="218"/>
      <c r="B44" s="27" t="s">
        <v>56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18">
        <v>0</v>
      </c>
    </row>
    <row r="45" spans="1:11" ht="13.5" customHeight="1">
      <c r="A45" s="218"/>
      <c r="B45" s="27" t="s">
        <v>73</v>
      </c>
      <c r="C45" s="28">
        <v>56284</v>
      </c>
      <c r="D45" s="28">
        <v>39342</v>
      </c>
      <c r="E45" s="28">
        <v>126322</v>
      </c>
      <c r="F45" s="28">
        <v>42187</v>
      </c>
      <c r="G45" s="28">
        <v>67238</v>
      </c>
      <c r="H45" s="28">
        <v>60842.13</v>
      </c>
      <c r="I45" s="28">
        <v>98850</v>
      </c>
      <c r="J45" s="28">
        <v>85855</v>
      </c>
      <c r="K45" s="18">
        <v>31350</v>
      </c>
    </row>
    <row r="46" spans="1:11" ht="13.5" customHeight="1">
      <c r="A46" s="218"/>
      <c r="B46" s="27" t="s">
        <v>58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52512</v>
      </c>
      <c r="K46" s="18">
        <v>0</v>
      </c>
    </row>
    <row r="47" spans="1:11" ht="13.5" customHeight="1">
      <c r="A47" s="218"/>
      <c r="B47" s="27" t="s">
        <v>74</v>
      </c>
      <c r="C47" s="28">
        <v>143</v>
      </c>
      <c r="D47" s="28">
        <v>2855</v>
      </c>
      <c r="E47" s="28">
        <v>0</v>
      </c>
      <c r="F47" s="28">
        <v>17333</v>
      </c>
      <c r="G47" s="28">
        <v>20999</v>
      </c>
      <c r="H47" s="28">
        <v>0</v>
      </c>
      <c r="I47" s="28">
        <v>2489</v>
      </c>
      <c r="J47" s="28">
        <v>13612</v>
      </c>
      <c r="K47" s="18">
        <v>0</v>
      </c>
    </row>
    <row r="48" spans="1:11" ht="13.5" customHeight="1">
      <c r="A48" s="218"/>
      <c r="B48" s="27" t="s">
        <v>75</v>
      </c>
      <c r="C48" s="28">
        <v>0</v>
      </c>
      <c r="D48" s="28">
        <v>51</v>
      </c>
      <c r="E48" s="28">
        <v>2500</v>
      </c>
      <c r="F48" s="28">
        <v>0</v>
      </c>
      <c r="G48" s="28">
        <v>0</v>
      </c>
      <c r="H48" s="28">
        <v>2400</v>
      </c>
      <c r="I48" s="28">
        <v>0</v>
      </c>
      <c r="J48" s="28">
        <v>0</v>
      </c>
      <c r="K48" s="18">
        <v>0</v>
      </c>
    </row>
    <row r="49" spans="1:11" ht="13.5" customHeight="1">
      <c r="A49" s="218"/>
      <c r="B49" s="27" t="s">
        <v>76</v>
      </c>
      <c r="C49" s="28">
        <v>257</v>
      </c>
      <c r="D49" s="28">
        <v>-5931</v>
      </c>
      <c r="E49" s="28">
        <v>10817</v>
      </c>
      <c r="F49" s="28">
        <v>9073</v>
      </c>
      <c r="G49" s="28">
        <v>2156</v>
      </c>
      <c r="H49" s="28">
        <v>894.86</v>
      </c>
      <c r="I49" s="28">
        <v>4398</v>
      </c>
      <c r="J49" s="28">
        <v>0</v>
      </c>
      <c r="K49" s="18">
        <v>0</v>
      </c>
    </row>
    <row r="50" spans="1:11" ht="13.5" customHeight="1">
      <c r="A50" s="218"/>
      <c r="B50" s="27" t="s">
        <v>77</v>
      </c>
      <c r="C50" s="28">
        <v>-2</v>
      </c>
      <c r="D50" s="28">
        <v>50</v>
      </c>
      <c r="E50" s="28">
        <v>220</v>
      </c>
      <c r="F50" s="28">
        <v>680</v>
      </c>
      <c r="G50" s="28">
        <v>0</v>
      </c>
      <c r="H50" s="28">
        <v>60.55</v>
      </c>
      <c r="I50" s="28">
        <v>1309</v>
      </c>
      <c r="J50" s="28">
        <v>0</v>
      </c>
      <c r="K50" s="18">
        <v>0</v>
      </c>
    </row>
    <row r="51" spans="1:11" ht="13.5" customHeight="1">
      <c r="A51" s="218"/>
      <c r="B51" s="27" t="s">
        <v>78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7186.2</v>
      </c>
      <c r="I51" s="28">
        <v>230.61999999999989</v>
      </c>
      <c r="J51" s="28">
        <v>172126</v>
      </c>
      <c r="K51" s="18">
        <v>0</v>
      </c>
    </row>
    <row r="52" spans="1:11" s="20" customFormat="1" ht="13.5" customHeight="1" thickBot="1">
      <c r="A52" s="214" t="s">
        <v>79</v>
      </c>
      <c r="B52" s="30"/>
      <c r="C52" s="31">
        <f t="shared" ref="C52:K52" si="2">SUM(C34:C51)</f>
        <v>337854</v>
      </c>
      <c r="D52" s="31">
        <f>SUM(D34:D51)</f>
        <v>767883</v>
      </c>
      <c r="E52" s="31">
        <f>SUM(E34:E51)</f>
        <v>802637</v>
      </c>
      <c r="F52" s="31">
        <f>SUM(F34:F51)</f>
        <v>706600</v>
      </c>
      <c r="G52" s="31">
        <f t="shared" si="2"/>
        <v>799698</v>
      </c>
      <c r="H52" s="31">
        <f t="shared" si="2"/>
        <v>718016.04</v>
      </c>
      <c r="I52" s="31">
        <f>SUM(I34:I51)</f>
        <v>759954.62</v>
      </c>
      <c r="J52" s="31">
        <f>SUM(J34:J51)</f>
        <v>737927</v>
      </c>
      <c r="K52" s="31">
        <f t="shared" si="2"/>
        <v>503531</v>
      </c>
    </row>
    <row r="53" spans="1:11" ht="13.5" customHeight="1">
      <c r="A53" s="225" t="s">
        <v>80</v>
      </c>
      <c r="B53" s="68"/>
      <c r="C53" s="69"/>
      <c r="D53" s="69"/>
      <c r="E53" s="69"/>
      <c r="F53" s="69"/>
      <c r="G53" s="69"/>
      <c r="H53" s="69"/>
      <c r="I53" s="70"/>
      <c r="J53" s="70"/>
      <c r="K53" s="71"/>
    </row>
    <row r="54" spans="1:11" s="20" customFormat="1" ht="13.5" customHeight="1">
      <c r="A54" s="215"/>
      <c r="B54" s="21" t="s">
        <v>81</v>
      </c>
      <c r="C54" s="22">
        <v>52596</v>
      </c>
      <c r="D54" s="22">
        <v>83922</v>
      </c>
      <c r="E54" s="22">
        <v>60073</v>
      </c>
      <c r="F54" s="22">
        <v>49181</v>
      </c>
      <c r="G54" s="22">
        <v>82193</v>
      </c>
      <c r="H54" s="22">
        <v>110889.91</v>
      </c>
      <c r="I54" s="22">
        <v>48417</v>
      </c>
      <c r="J54" s="22">
        <v>71370</v>
      </c>
      <c r="K54" s="22">
        <v>45359</v>
      </c>
    </row>
    <row r="55" spans="1:11" s="20" customFormat="1" ht="13.5" customHeight="1">
      <c r="A55" s="219"/>
      <c r="B55" s="33" t="s">
        <v>199</v>
      </c>
      <c r="C55" s="39">
        <v>62205</v>
      </c>
      <c r="D55" s="39">
        <v>35176</v>
      </c>
      <c r="E55" s="39">
        <v>121254</v>
      </c>
      <c r="F55" s="39">
        <v>153698</v>
      </c>
      <c r="G55" s="39">
        <v>149596</v>
      </c>
      <c r="H55" s="39">
        <v>-99936.12</v>
      </c>
      <c r="I55" s="39">
        <v>0</v>
      </c>
      <c r="J55" s="39">
        <v>0</v>
      </c>
      <c r="K55" s="39">
        <v>0</v>
      </c>
    </row>
    <row r="56" spans="1:11" s="20" customFormat="1" ht="13.5" customHeight="1">
      <c r="A56" s="192" t="s">
        <v>200</v>
      </c>
      <c r="B56" s="33"/>
      <c r="C56" s="22">
        <f t="shared" ref="C56:I56" si="3">+C32-C52</f>
        <v>200822</v>
      </c>
      <c r="D56" s="22">
        <f t="shared" si="3"/>
        <v>-81821</v>
      </c>
      <c r="E56" s="22">
        <f t="shared" si="3"/>
        <v>-271994</v>
      </c>
      <c r="F56" s="22">
        <f t="shared" si="3"/>
        <v>-20087</v>
      </c>
      <c r="G56" s="22">
        <f t="shared" si="3"/>
        <v>-9584</v>
      </c>
      <c r="H56" s="22">
        <f t="shared" si="3"/>
        <v>-133351.94999999995</v>
      </c>
      <c r="I56" s="22">
        <f t="shared" si="3"/>
        <v>-119381.12</v>
      </c>
      <c r="J56" s="22">
        <f t="shared" ref="J56" si="4">+J32-J52</f>
        <v>-215434</v>
      </c>
      <c r="K56" s="22">
        <f t="shared" ref="K56" si="5">+K32-K52</f>
        <v>-174443</v>
      </c>
    </row>
    <row r="57" spans="1:11" s="20" customFormat="1" ht="13.5" customHeight="1">
      <c r="A57" s="192" t="s">
        <v>201</v>
      </c>
      <c r="B57" s="33"/>
      <c r="C57" s="22">
        <f>+C32-C52-C54-C55</f>
        <v>86021</v>
      </c>
      <c r="D57" s="22">
        <f t="shared" ref="D57:I57" si="6">+D32-D52-D54-D55</f>
        <v>-200919</v>
      </c>
      <c r="E57" s="22">
        <f t="shared" si="6"/>
        <v>-453321</v>
      </c>
      <c r="F57" s="22">
        <f t="shared" si="6"/>
        <v>-222966</v>
      </c>
      <c r="G57" s="22">
        <f t="shared" si="6"/>
        <v>-241373</v>
      </c>
      <c r="H57" s="22">
        <f t="shared" si="6"/>
        <v>-144305.73999999996</v>
      </c>
      <c r="I57" s="22">
        <f t="shared" si="6"/>
        <v>-167798.12</v>
      </c>
      <c r="J57" s="22">
        <f t="shared" ref="J57" si="7">+J32-J52-J54-J55</f>
        <v>-286804</v>
      </c>
      <c r="K57" s="22">
        <f t="shared" ref="K57" si="8">+K32-K52-K54-K55</f>
        <v>-219802</v>
      </c>
    </row>
    <row r="58" spans="1:11" s="20" customFormat="1" ht="13.5" customHeight="1">
      <c r="A58" s="192" t="s">
        <v>202</v>
      </c>
      <c r="B58" s="33"/>
      <c r="C58" s="22">
        <f t="shared" ref="C58:I58" si="9">+C12+C13+C14+C32+-C52</f>
        <v>246650</v>
      </c>
      <c r="D58" s="22">
        <f t="shared" si="9"/>
        <v>308973</v>
      </c>
      <c r="E58" s="22">
        <f t="shared" si="9"/>
        <v>46311</v>
      </c>
      <c r="F58" s="22">
        <f t="shared" si="9"/>
        <v>25741</v>
      </c>
      <c r="G58" s="22">
        <f t="shared" si="9"/>
        <v>43075</v>
      </c>
      <c r="H58" s="22">
        <f t="shared" si="9"/>
        <v>-46586.949999999953</v>
      </c>
      <c r="I58" s="22">
        <f t="shared" si="9"/>
        <v>44174.880000000005</v>
      </c>
      <c r="J58" s="22">
        <f t="shared" ref="J58" si="10">+J12+J13+J14+J32+-J52</f>
        <v>-23818</v>
      </c>
      <c r="K58" s="22">
        <f t="shared" ref="K58" si="11">+K12+K13+K14+K32+-K52</f>
        <v>15684</v>
      </c>
    </row>
    <row r="59" spans="1:11" s="20" customFormat="1" ht="13.5" customHeight="1">
      <c r="A59" s="192" t="s">
        <v>203</v>
      </c>
      <c r="B59" s="33"/>
      <c r="C59" s="22">
        <f>+C12+C13+C14+C32-C52-C54-C55</f>
        <v>131849</v>
      </c>
      <c r="D59" s="22">
        <f t="shared" ref="D59:I59" si="12">+D12+D13+D14+D32-D52-D54-D55</f>
        <v>189875</v>
      </c>
      <c r="E59" s="22">
        <f t="shared" si="12"/>
        <v>-135016</v>
      </c>
      <c r="F59" s="22">
        <f t="shared" si="12"/>
        <v>-177138</v>
      </c>
      <c r="G59" s="22">
        <f t="shared" si="12"/>
        <v>-188714</v>
      </c>
      <c r="H59" s="22">
        <f t="shared" si="12"/>
        <v>-57540.739999999962</v>
      </c>
      <c r="I59" s="22">
        <f t="shared" si="12"/>
        <v>-4242.1199999999953</v>
      </c>
      <c r="J59" s="22">
        <f t="shared" ref="J59" si="13">+J12+J13+J14+J32-J52-J54-J55</f>
        <v>-95188</v>
      </c>
      <c r="K59" s="22">
        <f t="shared" ref="K59" si="14">+K12+K13+K14+K32-K52-K54-K55</f>
        <v>-29675</v>
      </c>
    </row>
    <row r="60" spans="1:11" ht="13.5" customHeight="1">
      <c r="A60" s="213" t="s">
        <v>219</v>
      </c>
      <c r="B60" s="11"/>
      <c r="C60" s="35"/>
      <c r="D60" s="35"/>
      <c r="E60" s="35"/>
      <c r="F60" s="35"/>
      <c r="G60" s="35"/>
      <c r="H60" s="35"/>
      <c r="I60" s="34"/>
      <c r="J60" s="34"/>
      <c r="K60" s="35"/>
    </row>
    <row r="61" spans="1:11" s="44" customFormat="1" ht="13.5" customHeight="1">
      <c r="A61" s="220"/>
      <c r="B61" s="163" t="s">
        <v>39</v>
      </c>
      <c r="C61" s="16">
        <v>361112</v>
      </c>
      <c r="D61" s="16">
        <v>304666</v>
      </c>
      <c r="E61" s="16">
        <v>-23763</v>
      </c>
      <c r="F61" s="16">
        <v>63292</v>
      </c>
      <c r="G61" s="16">
        <v>68939</v>
      </c>
      <c r="H61" s="16">
        <v>373529.13000000035</v>
      </c>
      <c r="I61" s="16">
        <v>37193.699999999997</v>
      </c>
      <c r="J61" s="16">
        <v>54466</v>
      </c>
      <c r="K61" s="16">
        <v>-113312</v>
      </c>
    </row>
    <row r="62" spans="1:11" s="44" customFormat="1" ht="13.5" customHeight="1">
      <c r="A62" s="220"/>
      <c r="B62" s="163" t="s">
        <v>212</v>
      </c>
      <c r="C62" s="16">
        <v>-251361</v>
      </c>
      <c r="D62" s="16">
        <v>-376014</v>
      </c>
      <c r="E62" s="16">
        <v>-362803</v>
      </c>
      <c r="F62" s="16">
        <v>-247643</v>
      </c>
      <c r="G62" s="16">
        <v>-295090</v>
      </c>
      <c r="H62" s="16">
        <v>-169278.32</v>
      </c>
      <c r="I62" s="16">
        <v>0</v>
      </c>
      <c r="J62" s="16">
        <v>0</v>
      </c>
      <c r="K62" s="16">
        <v>0</v>
      </c>
    </row>
    <row r="63" spans="1:11" s="44" customFormat="1" ht="13.5" customHeight="1">
      <c r="A63" s="220"/>
      <c r="B63" s="163" t="s">
        <v>40</v>
      </c>
      <c r="C63" s="16">
        <v>0</v>
      </c>
      <c r="D63" s="16">
        <v>0</v>
      </c>
      <c r="E63" s="16">
        <v>0</v>
      </c>
      <c r="F63" s="16">
        <v>14497</v>
      </c>
      <c r="G63" s="16">
        <v>0</v>
      </c>
      <c r="H63" s="16">
        <v>0</v>
      </c>
      <c r="I63" s="16">
        <v>9488.77</v>
      </c>
      <c r="J63" s="16">
        <v>0</v>
      </c>
      <c r="K63" s="16">
        <v>0</v>
      </c>
    </row>
    <row r="64" spans="1:11" s="164" customFormat="1" ht="13.5" customHeight="1">
      <c r="A64" s="220"/>
      <c r="B64" s="163" t="s">
        <v>41</v>
      </c>
      <c r="C64" s="16">
        <v>977938</v>
      </c>
      <c r="D64" s="16">
        <v>1102227</v>
      </c>
      <c r="E64" s="16">
        <v>882340</v>
      </c>
      <c r="F64" s="16">
        <v>601465</v>
      </c>
      <c r="G64" s="16">
        <v>1226918</v>
      </c>
      <c r="H64" s="16">
        <v>1509926.9999999995</v>
      </c>
      <c r="I64" s="16">
        <v>877287.4700000002</v>
      </c>
      <c r="J64" s="16">
        <v>1027319</v>
      </c>
      <c r="K64" s="16">
        <v>345631</v>
      </c>
    </row>
    <row r="65" spans="1:11" s="20" customFormat="1" ht="13.5" customHeight="1">
      <c r="A65" s="192"/>
      <c r="B65" s="38" t="s">
        <v>43</v>
      </c>
      <c r="C65" s="52">
        <f t="shared" ref="C65:K65" si="15">SUM(C61:C64)</f>
        <v>1087689</v>
      </c>
      <c r="D65" s="52">
        <f t="shared" si="15"/>
        <v>1030879</v>
      </c>
      <c r="E65" s="52">
        <f t="shared" si="15"/>
        <v>495774</v>
      </c>
      <c r="F65" s="52">
        <f>SUM(F61:F64)</f>
        <v>431611</v>
      </c>
      <c r="G65" s="52">
        <f t="shared" si="15"/>
        <v>1000767</v>
      </c>
      <c r="H65" s="52">
        <f t="shared" si="15"/>
        <v>1714177.8099999998</v>
      </c>
      <c r="I65" s="52">
        <f t="shared" si="15"/>
        <v>923969.94000000018</v>
      </c>
      <c r="J65" s="52">
        <f t="shared" si="15"/>
        <v>1081785</v>
      </c>
      <c r="K65" s="52">
        <f t="shared" si="15"/>
        <v>232319</v>
      </c>
    </row>
    <row r="66" spans="1:11" s="41" customFormat="1" ht="13.5" customHeight="1">
      <c r="A66" s="227" t="s">
        <v>82</v>
      </c>
      <c r="B66" s="227"/>
      <c r="C66" s="222">
        <f t="shared" ref="C66:H66" si="16">C61/(C52)</f>
        <v>1.0688403866759015</v>
      </c>
      <c r="D66" s="222">
        <f t="shared" si="16"/>
        <v>0.39676096488657775</v>
      </c>
      <c r="E66" s="222">
        <f t="shared" si="16"/>
        <v>-2.9606160692816304E-2</v>
      </c>
      <c r="F66" s="222">
        <f>F61/(F52)</f>
        <v>8.9572601188791401E-2</v>
      </c>
      <c r="G66" s="222">
        <f t="shared" si="16"/>
        <v>8.6206292875560531E-2</v>
      </c>
      <c r="H66" s="228">
        <f t="shared" si="16"/>
        <v>0.5202239353872935</v>
      </c>
      <c r="I66" s="222">
        <f>I61/I52</f>
        <v>4.894200130002499E-2</v>
      </c>
      <c r="J66" s="222">
        <f>J61/J52</f>
        <v>7.38094689583116E-2</v>
      </c>
      <c r="K66" s="222">
        <f>K61/K52</f>
        <v>-0.22503480421265026</v>
      </c>
    </row>
    <row r="67" spans="1:11" s="74" customFormat="1" hidden="1">
      <c r="A67" s="73"/>
      <c r="B67" s="73" t="s">
        <v>83</v>
      </c>
      <c r="C67" s="73">
        <f t="shared" ref="C67:F67" si="17">+C10+C12+C13+C14+C32-C52-C54-C65-C55</f>
        <v>-1</v>
      </c>
      <c r="D67" s="73">
        <f>+D10+D12+D13+D14+D32-D52-D54-D65-D55</f>
        <v>1</v>
      </c>
      <c r="E67" s="73">
        <f t="shared" si="17"/>
        <v>-1</v>
      </c>
      <c r="F67" s="73">
        <f t="shared" si="17"/>
        <v>0</v>
      </c>
      <c r="G67" s="73">
        <f>+G10+G12+G13+G14+G32-G52-G54-G65-G55</f>
        <v>1</v>
      </c>
      <c r="H67" s="73">
        <f t="shared" ref="H67:K67" si="18">+H10+H12+H13+H14+H32-H52-H54-H65-H55</f>
        <v>0.45000000006984919</v>
      </c>
      <c r="I67" s="73">
        <f t="shared" si="18"/>
        <v>-6.0000000172294676E-2</v>
      </c>
      <c r="J67" s="73">
        <f t="shared" si="18"/>
        <v>1</v>
      </c>
      <c r="K67" s="73">
        <f t="shared" si="18"/>
        <v>0</v>
      </c>
    </row>
    <row r="68" spans="1:11" s="74" customFormat="1" hidden="1">
      <c r="A68" s="73"/>
      <c r="B68" s="73"/>
      <c r="C68" s="43">
        <f>+C10+C59-C65</f>
        <v>-1</v>
      </c>
      <c r="D68" s="43">
        <f t="shared" ref="D68:K68" si="19">+D10+D59-D65</f>
        <v>1</v>
      </c>
      <c r="E68" s="43">
        <f t="shared" si="19"/>
        <v>-1</v>
      </c>
      <c r="F68" s="43">
        <f t="shared" si="19"/>
        <v>0</v>
      </c>
      <c r="G68" s="43">
        <f t="shared" si="19"/>
        <v>1</v>
      </c>
      <c r="H68" s="43">
        <f t="shared" si="19"/>
        <v>0.45000000018626451</v>
      </c>
      <c r="I68" s="43">
        <f t="shared" si="19"/>
        <v>-6.0000000172294676E-2</v>
      </c>
      <c r="J68" s="43">
        <f t="shared" si="19"/>
        <v>1</v>
      </c>
      <c r="K68" s="43">
        <f t="shared" si="19"/>
        <v>0</v>
      </c>
    </row>
    <row r="69" spans="1:11" s="74" customFormat="1" ht="13.5" customHeight="1">
      <c r="A69" s="73"/>
      <c r="B69" s="73"/>
      <c r="C69" s="43"/>
      <c r="D69" s="43"/>
      <c r="E69" s="43"/>
      <c r="F69" s="43"/>
      <c r="G69" s="43"/>
      <c r="H69" s="43"/>
      <c r="I69" s="43"/>
      <c r="J69" s="43"/>
      <c r="K69" s="43"/>
    </row>
    <row r="70" spans="1:11" s="74" customFormat="1" ht="13.5" customHeight="1">
      <c r="A70" s="140" t="s">
        <v>193</v>
      </c>
      <c r="B70" s="48"/>
      <c r="C70" s="48"/>
      <c r="D70" s="48"/>
      <c r="E70" s="105"/>
      <c r="F70" s="73"/>
      <c r="G70" s="73"/>
      <c r="H70" s="62"/>
      <c r="I70" s="62"/>
      <c r="J70" s="62"/>
      <c r="K70" s="73"/>
    </row>
    <row r="71" spans="1:11" s="74" customFormat="1" ht="13.5" customHeight="1">
      <c r="A71" s="137" t="s">
        <v>194</v>
      </c>
      <c r="B71" s="48"/>
      <c r="C71" s="48"/>
      <c r="D71" s="48"/>
      <c r="E71" s="105"/>
      <c r="F71" s="73"/>
      <c r="G71" s="73"/>
      <c r="H71" s="62"/>
      <c r="I71" s="62"/>
      <c r="J71" s="62"/>
      <c r="K71" s="73"/>
    </row>
    <row r="72" spans="1:11" s="74" customFormat="1" ht="13.5" customHeight="1">
      <c r="A72" s="138" t="s">
        <v>84</v>
      </c>
      <c r="B72" s="48"/>
      <c r="C72" s="48"/>
      <c r="D72" s="48"/>
      <c r="E72" s="105"/>
      <c r="F72" s="73"/>
      <c r="G72" s="73"/>
      <c r="H72" s="62"/>
      <c r="I72" s="62"/>
      <c r="J72" s="62"/>
      <c r="K72" s="73"/>
    </row>
    <row r="73" spans="1:11" s="74" customFormat="1" ht="13.5" customHeight="1">
      <c r="A73" s="139"/>
      <c r="B73" s="48"/>
      <c r="C73" s="48"/>
      <c r="D73" s="48"/>
      <c r="E73" s="105"/>
      <c r="F73" s="73"/>
      <c r="G73" s="73"/>
      <c r="H73" s="62"/>
      <c r="I73" s="62"/>
      <c r="J73" s="62"/>
      <c r="K73" s="73"/>
    </row>
    <row r="74" spans="1:11" ht="12.75" customHeight="1">
      <c r="A74" s="137" t="s">
        <v>195</v>
      </c>
      <c r="B74" s="48"/>
      <c r="C74" s="48"/>
      <c r="D74" s="48"/>
      <c r="E74" s="101"/>
      <c r="H74" s="44"/>
      <c r="I74" s="44"/>
      <c r="J74" s="44"/>
      <c r="K74" s="10"/>
    </row>
    <row r="75" spans="1:11" ht="12.75" customHeight="1">
      <c r="A75" s="137" t="s">
        <v>85</v>
      </c>
      <c r="B75" s="48"/>
      <c r="C75" s="48"/>
      <c r="D75" s="48"/>
      <c r="E75" s="101"/>
      <c r="H75" s="44"/>
      <c r="I75" s="44"/>
      <c r="J75" s="44"/>
      <c r="K75" s="10"/>
    </row>
    <row r="76" spans="1:11" ht="12.75" customHeight="1">
      <c r="A76" s="137" t="s">
        <v>86</v>
      </c>
      <c r="B76" s="99"/>
      <c r="C76" s="100"/>
      <c r="D76" s="100"/>
      <c r="E76" s="101"/>
      <c r="K76" s="10"/>
    </row>
    <row r="77" spans="1:11" ht="12.75" customHeight="1">
      <c r="A77" s="46"/>
      <c r="B77" s="75"/>
      <c r="C77" s="76"/>
      <c r="D77" s="76"/>
      <c r="K77" s="10"/>
    </row>
    <row r="78" spans="1:11" ht="10.5" customHeight="1">
      <c r="A78" s="274"/>
      <c r="B78" s="275"/>
      <c r="C78" s="211"/>
      <c r="D78" s="211"/>
      <c r="E78" s="211"/>
      <c r="F78" s="211"/>
      <c r="G78" s="211"/>
      <c r="H78" s="211"/>
      <c r="I78" s="211"/>
      <c r="J78" s="211"/>
      <c r="K78" s="211"/>
    </row>
    <row r="79" spans="1:11" ht="77.25" customHeight="1">
      <c r="A79" s="276"/>
      <c r="B79" s="277"/>
      <c r="C79" s="207" t="str">
        <f>C2</f>
        <v>29th DAA, Mother Lode Fair</v>
      </c>
      <c r="D79" s="207" t="str">
        <f>D2</f>
        <v>35-A DAA, Mariposa County Fair</v>
      </c>
      <c r="E79" s="207" t="str">
        <f>E2</f>
        <v>41st DAA, 
Del Norte County Fair</v>
      </c>
      <c r="F79" s="207" t="s">
        <v>129</v>
      </c>
      <c r="G79" s="207" t="str">
        <f>G2</f>
        <v>44th DAA, Colusa County Fair</v>
      </c>
      <c r="H79" s="207" t="str">
        <f>H2</f>
        <v>49th DAA, Lake County Fair</v>
      </c>
      <c r="I79" s="207" t="str">
        <f>I2</f>
        <v>Butte County Fair</v>
      </c>
      <c r="J79" s="207" t="str">
        <f>J2</f>
        <v>Lassen County Fair FY 16/17</v>
      </c>
      <c r="K79" s="207" t="str">
        <f>K2</f>
        <v>Plumas-Sierra County Fair 
FY 16/17</v>
      </c>
    </row>
    <row r="80" spans="1:11" ht="13.5" customHeight="1">
      <c r="A80" s="213" t="s">
        <v>87</v>
      </c>
      <c r="B80" s="27"/>
      <c r="C80" s="50"/>
      <c r="D80" s="50"/>
      <c r="E80" s="50"/>
      <c r="F80" s="50"/>
      <c r="G80" s="50"/>
      <c r="H80" s="50"/>
      <c r="I80" s="49"/>
      <c r="J80" s="49"/>
      <c r="K80" s="51"/>
    </row>
    <row r="81" spans="1:11" ht="13.5" customHeight="1">
      <c r="A81" s="213" t="s">
        <v>88</v>
      </c>
      <c r="B81" s="27"/>
      <c r="C81" s="50"/>
      <c r="D81" s="50"/>
      <c r="E81" s="50"/>
      <c r="F81" s="50"/>
      <c r="G81" s="50"/>
      <c r="H81" s="50"/>
      <c r="I81" s="49"/>
      <c r="J81" s="49"/>
      <c r="K81" s="51"/>
    </row>
    <row r="82" spans="1:11" ht="13.5" customHeight="1">
      <c r="A82" s="218"/>
      <c r="B82" s="27" t="s">
        <v>89</v>
      </c>
      <c r="C82" s="28"/>
      <c r="D82" s="28"/>
      <c r="E82" s="28"/>
      <c r="F82" s="28"/>
      <c r="G82" s="28"/>
      <c r="H82" s="28"/>
      <c r="I82" s="17"/>
      <c r="J82" s="17"/>
      <c r="K82" s="18"/>
    </row>
    <row r="83" spans="1:11" ht="13.5" customHeight="1">
      <c r="A83" s="218"/>
      <c r="B83" s="27" t="s">
        <v>90</v>
      </c>
      <c r="C83" s="13">
        <v>0</v>
      </c>
      <c r="D83" s="13">
        <v>0</v>
      </c>
      <c r="E83" s="13">
        <v>21362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4">
        <v>300</v>
      </c>
    </row>
    <row r="84" spans="1:11" ht="13.5" customHeight="1">
      <c r="A84" s="218"/>
      <c r="B84" s="27" t="s">
        <v>91</v>
      </c>
      <c r="C84" s="28">
        <v>441391</v>
      </c>
      <c r="D84" s="28">
        <v>419383</v>
      </c>
      <c r="E84" s="28">
        <v>137748</v>
      </c>
      <c r="F84" s="28">
        <v>220251</v>
      </c>
      <c r="G84" s="28">
        <v>576958</v>
      </c>
      <c r="H84" s="28">
        <v>487310.07</v>
      </c>
      <c r="I84" s="28">
        <v>163803.84999999998</v>
      </c>
      <c r="J84" s="28">
        <v>74962</v>
      </c>
      <c r="K84" s="18">
        <v>35544</v>
      </c>
    </row>
    <row r="85" spans="1:11" ht="13.5" customHeight="1">
      <c r="A85" s="218"/>
      <c r="B85" s="27" t="s">
        <v>92</v>
      </c>
      <c r="C85" s="28">
        <v>3977</v>
      </c>
      <c r="D85" s="28">
        <v>69507</v>
      </c>
      <c r="E85" s="28">
        <f>516+830</f>
        <v>1346</v>
      </c>
      <c r="F85" s="28">
        <v>28260</v>
      </c>
      <c r="G85" s="28">
        <v>45861</v>
      </c>
      <c r="H85" s="28">
        <v>76458.64</v>
      </c>
      <c r="I85" s="28">
        <v>92192.78</v>
      </c>
      <c r="J85" s="28">
        <v>48000</v>
      </c>
      <c r="K85" s="18">
        <v>0</v>
      </c>
    </row>
    <row r="86" spans="1:11" ht="13.5" customHeight="1">
      <c r="A86" s="218"/>
      <c r="B86" s="27" t="s">
        <v>93</v>
      </c>
      <c r="C86" s="28">
        <v>0</v>
      </c>
      <c r="D86" s="28">
        <v>16</v>
      </c>
      <c r="E86" s="28">
        <v>4128</v>
      </c>
      <c r="F86" s="28">
        <v>0</v>
      </c>
      <c r="G86" s="28">
        <v>3785</v>
      </c>
      <c r="H86" s="28">
        <v>0</v>
      </c>
      <c r="I86" s="28">
        <v>775.92</v>
      </c>
      <c r="J86" s="28">
        <v>7500</v>
      </c>
      <c r="K86" s="18">
        <v>3569</v>
      </c>
    </row>
    <row r="87" spans="1:11" ht="13.5" customHeight="1">
      <c r="A87" s="218"/>
      <c r="B87" s="27" t="s">
        <v>94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18">
        <v>0</v>
      </c>
    </row>
    <row r="88" spans="1:11" ht="13.5" customHeight="1">
      <c r="A88" s="218"/>
      <c r="B88" s="27" t="s">
        <v>95</v>
      </c>
      <c r="C88" s="28">
        <v>10607</v>
      </c>
      <c r="D88" s="28">
        <v>91518</v>
      </c>
      <c r="E88" s="28">
        <v>121619</v>
      </c>
      <c r="F88" s="28">
        <v>2941</v>
      </c>
      <c r="G88" s="28">
        <v>2778</v>
      </c>
      <c r="H88" s="28">
        <v>20434.48</v>
      </c>
      <c r="I88" s="28">
        <v>0</v>
      </c>
      <c r="J88" s="28">
        <v>0</v>
      </c>
      <c r="K88" s="18">
        <v>0</v>
      </c>
    </row>
    <row r="89" spans="1:11" ht="13.5" customHeight="1">
      <c r="A89" s="218"/>
      <c r="B89" s="27" t="s">
        <v>96</v>
      </c>
      <c r="C89" s="28">
        <v>239127</v>
      </c>
      <c r="D89" s="28">
        <v>5243</v>
      </c>
      <c r="E89" s="28">
        <v>30353</v>
      </c>
      <c r="F89" s="28">
        <v>16264</v>
      </c>
      <c r="G89" s="28">
        <v>3298</v>
      </c>
      <c r="H89" s="28">
        <v>240661.51</v>
      </c>
      <c r="I89" s="28">
        <v>0</v>
      </c>
      <c r="J89" s="28">
        <v>86870</v>
      </c>
      <c r="K89" s="18">
        <v>28220</v>
      </c>
    </row>
    <row r="90" spans="1:11" ht="13.5" customHeight="1">
      <c r="A90" s="218"/>
      <c r="B90" s="27" t="s">
        <v>97</v>
      </c>
      <c r="C90" s="28">
        <v>2506062</v>
      </c>
      <c r="D90" s="28">
        <v>3880907</v>
      </c>
      <c r="E90" s="28">
        <v>2742897</v>
      </c>
      <c r="F90" s="28">
        <v>2691300</v>
      </c>
      <c r="G90" s="28">
        <v>3188195</v>
      </c>
      <c r="H90" s="28">
        <v>4018660.56</v>
      </c>
      <c r="I90" s="28">
        <v>2525549.91</v>
      </c>
      <c r="J90" s="28">
        <v>2053488</v>
      </c>
      <c r="K90" s="18">
        <v>161566</v>
      </c>
    </row>
    <row r="91" spans="1:11" ht="13.5" customHeight="1">
      <c r="A91" s="218"/>
      <c r="B91" s="27" t="s">
        <v>98</v>
      </c>
      <c r="C91" s="28">
        <v>250168</v>
      </c>
      <c r="D91" s="28">
        <v>193028</v>
      </c>
      <c r="E91" s="28">
        <v>186684</v>
      </c>
      <c r="F91" s="28">
        <v>67419</v>
      </c>
      <c r="G91" s="28">
        <v>159751</v>
      </c>
      <c r="H91" s="28">
        <v>106219.26</v>
      </c>
      <c r="I91" s="28">
        <v>114229.75</v>
      </c>
      <c r="J91" s="28">
        <v>295108</v>
      </c>
      <c r="K91" s="18">
        <v>190269</v>
      </c>
    </row>
    <row r="92" spans="1:11" ht="13.5" customHeight="1">
      <c r="A92" s="218"/>
      <c r="B92" s="27" t="s">
        <v>99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16600</v>
      </c>
      <c r="I92" s="28">
        <v>0</v>
      </c>
      <c r="J92" s="28">
        <v>0</v>
      </c>
      <c r="K92" s="18">
        <v>1053642</v>
      </c>
    </row>
    <row r="93" spans="1:11" ht="13.5" customHeight="1">
      <c r="A93" s="218"/>
      <c r="B93" s="27" t="s">
        <v>180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18">
        <v>0</v>
      </c>
    </row>
    <row r="94" spans="1:11" ht="13.5" customHeight="1">
      <c r="A94" s="218"/>
      <c r="B94" s="27" t="s">
        <v>100</v>
      </c>
      <c r="C94" s="28">
        <f>-1777857-250168</f>
        <v>-2028025</v>
      </c>
      <c r="D94" s="28">
        <f>-2904408-158183</f>
        <v>-3062591</v>
      </c>
      <c r="E94" s="28">
        <f>-1936231-163658</f>
        <v>-2099889</v>
      </c>
      <c r="F94" s="28">
        <f>-2109041-67419</f>
        <v>-2176460</v>
      </c>
      <c r="G94" s="28">
        <f>-1985330-141774</f>
        <v>-2127104</v>
      </c>
      <c r="H94" s="28">
        <f>-2797112.86-95535.95</f>
        <v>-2892648.81</v>
      </c>
      <c r="I94" s="28">
        <f>-1648262.44-114229.75</f>
        <v>-1762492.19</v>
      </c>
      <c r="J94" s="28">
        <f>-1164681-243466</f>
        <v>-1408147</v>
      </c>
      <c r="K94" s="18">
        <f>-140749-185417-761900</f>
        <v>-1088066</v>
      </c>
    </row>
    <row r="95" spans="1:11" ht="13.5" customHeight="1">
      <c r="A95" s="218"/>
      <c r="B95" s="27" t="s">
        <v>101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18">
        <v>0</v>
      </c>
    </row>
    <row r="96" spans="1:11" ht="13.5" customHeight="1">
      <c r="A96" s="201" t="s">
        <v>102</v>
      </c>
      <c r="B96" s="21"/>
      <c r="C96" s="22">
        <f>SUM(C82:C95)</f>
        <v>1423307</v>
      </c>
      <c r="D96" s="22">
        <f t="shared" ref="D96:J96" si="20">SUM(D82:D95)</f>
        <v>1597011</v>
      </c>
      <c r="E96" s="22">
        <f>SUM(E82:E95)</f>
        <v>1146248</v>
      </c>
      <c r="F96" s="22">
        <f t="shared" si="20"/>
        <v>849975</v>
      </c>
      <c r="G96" s="22">
        <f t="shared" si="20"/>
        <v>1853522</v>
      </c>
      <c r="H96" s="22">
        <f t="shared" si="20"/>
        <v>2073695.7099999995</v>
      </c>
      <c r="I96" s="22">
        <f t="shared" si="20"/>
        <v>1134060.02</v>
      </c>
      <c r="J96" s="22">
        <f t="shared" si="20"/>
        <v>1157781</v>
      </c>
      <c r="K96" s="22">
        <f>SUM(K82:K95)</f>
        <v>385044</v>
      </c>
    </row>
    <row r="97" spans="1:11" ht="13.5" customHeight="1">
      <c r="A97" s="201" t="s">
        <v>207</v>
      </c>
      <c r="B97" s="21"/>
      <c r="C97" s="22">
        <v>47330</v>
      </c>
      <c r="D97" s="22">
        <v>146451</v>
      </c>
      <c r="E97" s="22">
        <v>139257</v>
      </c>
      <c r="F97" s="22">
        <v>117168</v>
      </c>
      <c r="G97" s="22">
        <v>106980</v>
      </c>
      <c r="H97" s="22">
        <v>95403.08</v>
      </c>
      <c r="I97" s="22">
        <v>0</v>
      </c>
      <c r="J97" s="22">
        <v>0</v>
      </c>
      <c r="K97" s="22">
        <v>0</v>
      </c>
    </row>
    <row r="98" spans="1:11" s="20" customFormat="1" ht="13.5" customHeight="1">
      <c r="A98" s="223" t="s">
        <v>204</v>
      </c>
      <c r="B98" s="155"/>
      <c r="C98" s="156">
        <f>+C96+C97</f>
        <v>1470637</v>
      </c>
      <c r="D98" s="156">
        <f t="shared" ref="D98:J98" si="21">+D96+D97</f>
        <v>1743462</v>
      </c>
      <c r="E98" s="156">
        <f t="shared" si="21"/>
        <v>1285505</v>
      </c>
      <c r="F98" s="156">
        <f t="shared" si="21"/>
        <v>967143</v>
      </c>
      <c r="G98" s="156">
        <f t="shared" si="21"/>
        <v>1960502</v>
      </c>
      <c r="H98" s="156">
        <f t="shared" si="21"/>
        <v>2169098.7899999996</v>
      </c>
      <c r="I98" s="156">
        <f t="shared" si="21"/>
        <v>1134060.02</v>
      </c>
      <c r="J98" s="156">
        <f t="shared" si="21"/>
        <v>1157781</v>
      </c>
      <c r="K98" s="156">
        <f>+K96+K97</f>
        <v>385044</v>
      </c>
    </row>
    <row r="99" spans="1:11" ht="13.5" customHeight="1">
      <c r="A99" s="213" t="s">
        <v>205</v>
      </c>
      <c r="B99" s="27"/>
      <c r="C99" s="50"/>
      <c r="D99" s="50"/>
      <c r="E99" s="50"/>
      <c r="F99" s="50"/>
      <c r="G99" s="50"/>
      <c r="H99" s="50"/>
      <c r="I99" s="49"/>
      <c r="J99" s="49"/>
      <c r="K99" s="51"/>
    </row>
    <row r="100" spans="1:11" ht="13.5" customHeight="1">
      <c r="A100" s="218"/>
      <c r="B100" s="27" t="s">
        <v>103</v>
      </c>
      <c r="C100" s="28">
        <v>0</v>
      </c>
      <c r="D100" s="28">
        <v>0</v>
      </c>
      <c r="E100" s="28">
        <v>0</v>
      </c>
      <c r="F100" s="28">
        <v>0</v>
      </c>
      <c r="G100" s="28">
        <v>-2905</v>
      </c>
      <c r="H100" s="28">
        <v>-620.99</v>
      </c>
      <c r="I100" s="28">
        <v>0</v>
      </c>
      <c r="J100" s="28">
        <v>0</v>
      </c>
      <c r="K100" s="18">
        <v>0</v>
      </c>
    </row>
    <row r="101" spans="1:11" ht="13.5" customHeight="1">
      <c r="A101" s="218"/>
      <c r="B101" s="27" t="s">
        <v>104</v>
      </c>
      <c r="C101" s="28">
        <v>6061</v>
      </c>
      <c r="D101" s="28">
        <v>29523</v>
      </c>
      <c r="E101" s="28">
        <f>18293+2323</f>
        <v>20616</v>
      </c>
      <c r="F101" s="28">
        <v>13158</v>
      </c>
      <c r="G101" s="28">
        <v>26318</v>
      </c>
      <c r="H101" s="28">
        <v>0</v>
      </c>
      <c r="I101" s="28">
        <v>105423.56000000001</v>
      </c>
      <c r="J101" s="28">
        <v>65430</v>
      </c>
      <c r="K101" s="18">
        <v>4623</v>
      </c>
    </row>
    <row r="102" spans="1:11" ht="13.5" customHeight="1">
      <c r="A102" s="218"/>
      <c r="B102" s="27" t="s">
        <v>105</v>
      </c>
      <c r="C102" s="28">
        <v>0</v>
      </c>
      <c r="D102" s="28">
        <v>5618</v>
      </c>
      <c r="E102" s="28">
        <v>4834</v>
      </c>
      <c r="F102" s="28">
        <v>4329</v>
      </c>
      <c r="G102" s="28">
        <v>1120</v>
      </c>
      <c r="H102" s="28">
        <v>-2571.2399999999998</v>
      </c>
      <c r="I102" s="28">
        <v>6381.02</v>
      </c>
      <c r="J102" s="28">
        <v>10566</v>
      </c>
      <c r="K102" s="18">
        <v>10449</v>
      </c>
    </row>
    <row r="103" spans="1:11" ht="13.5" customHeight="1">
      <c r="A103" s="218"/>
      <c r="B103" s="27" t="s">
        <v>106</v>
      </c>
      <c r="C103" s="28">
        <v>23665</v>
      </c>
      <c r="D103" s="28">
        <v>96889</v>
      </c>
      <c r="E103" s="28">
        <v>123669</v>
      </c>
      <c r="F103" s="28">
        <v>5325</v>
      </c>
      <c r="G103" s="28">
        <v>257366</v>
      </c>
      <c r="H103" s="28">
        <v>0</v>
      </c>
      <c r="I103" s="28">
        <v>345</v>
      </c>
      <c r="J103" s="28">
        <v>0</v>
      </c>
      <c r="K103" s="18">
        <v>0</v>
      </c>
    </row>
    <row r="104" spans="1:11" ht="13.5" customHeight="1">
      <c r="A104" s="218"/>
      <c r="B104" s="27" t="s">
        <v>107</v>
      </c>
      <c r="C104" s="28">
        <v>-350</v>
      </c>
      <c r="D104" s="28">
        <v>0</v>
      </c>
      <c r="E104" s="28">
        <v>2131</v>
      </c>
      <c r="F104" s="28">
        <v>-843</v>
      </c>
      <c r="G104" s="28">
        <v>31692</v>
      </c>
      <c r="H104" s="28">
        <v>175</v>
      </c>
      <c r="I104" s="28">
        <v>9372.6200000000008</v>
      </c>
      <c r="J104" s="28">
        <v>0</v>
      </c>
      <c r="K104" s="18">
        <v>69000</v>
      </c>
    </row>
    <row r="105" spans="1:11" ht="13.5" customHeight="1">
      <c r="A105" s="218"/>
      <c r="B105" s="27" t="s">
        <v>108</v>
      </c>
      <c r="C105" s="28">
        <v>11233</v>
      </c>
      <c r="D105" s="28">
        <v>0</v>
      </c>
      <c r="E105" s="28">
        <v>5450</v>
      </c>
      <c r="F105" s="28">
        <v>7327</v>
      </c>
      <c r="G105" s="28">
        <v>90696</v>
      </c>
      <c r="H105" s="28">
        <v>6722</v>
      </c>
      <c r="I105" s="28">
        <v>3900</v>
      </c>
      <c r="J105" s="28">
        <v>0</v>
      </c>
      <c r="K105" s="18">
        <v>68653</v>
      </c>
    </row>
    <row r="106" spans="1:11" ht="13.5" customHeight="1">
      <c r="A106" s="218"/>
      <c r="B106" s="27" t="s">
        <v>109</v>
      </c>
      <c r="C106" s="28">
        <v>0</v>
      </c>
      <c r="D106" s="28">
        <v>52209</v>
      </c>
      <c r="E106" s="28">
        <v>11778</v>
      </c>
      <c r="F106" s="28">
        <v>19614</v>
      </c>
      <c r="G106" s="28">
        <v>2825</v>
      </c>
      <c r="H106" s="28">
        <v>22476.17</v>
      </c>
      <c r="I106" s="28">
        <v>20180</v>
      </c>
      <c r="J106" s="28">
        <v>0</v>
      </c>
      <c r="K106" s="18">
        <v>0</v>
      </c>
    </row>
    <row r="107" spans="1:11" ht="13.5" customHeight="1">
      <c r="A107" s="218"/>
      <c r="B107" s="27" t="s">
        <v>110</v>
      </c>
      <c r="C107" s="28">
        <v>0</v>
      </c>
      <c r="D107" s="28">
        <v>5878</v>
      </c>
      <c r="E107" s="28">
        <v>99324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18">
        <v>0</v>
      </c>
    </row>
    <row r="108" spans="1:11" ht="13.5" customHeight="1">
      <c r="A108" s="218"/>
      <c r="B108" s="27" t="s">
        <v>210</v>
      </c>
      <c r="C108" s="28">
        <v>298007</v>
      </c>
      <c r="D108" s="28">
        <v>521268</v>
      </c>
      <c r="E108" s="28">
        <v>500910</v>
      </c>
      <c r="F108" s="28">
        <v>363975</v>
      </c>
      <c r="G108" s="28">
        <v>401149</v>
      </c>
      <c r="H108" s="28">
        <v>264075.03000000003</v>
      </c>
      <c r="I108" s="28">
        <v>0</v>
      </c>
      <c r="J108" s="28">
        <v>0</v>
      </c>
      <c r="K108" s="18">
        <v>0</v>
      </c>
    </row>
    <row r="109" spans="1:11" ht="13.5" customHeight="1">
      <c r="A109" s="201" t="s">
        <v>209</v>
      </c>
      <c r="B109" s="21"/>
      <c r="C109" s="22">
        <f>SUM(C100:C108)</f>
        <v>338616</v>
      </c>
      <c r="D109" s="22">
        <f t="shared" ref="D109:J109" si="22">SUM(D100:D108)</f>
        <v>711385</v>
      </c>
      <c r="E109" s="22">
        <f t="shared" si="22"/>
        <v>768712</v>
      </c>
      <c r="F109" s="22">
        <f t="shared" si="22"/>
        <v>412885</v>
      </c>
      <c r="G109" s="22">
        <f t="shared" si="22"/>
        <v>808261</v>
      </c>
      <c r="H109" s="22">
        <f t="shared" si="22"/>
        <v>290255.97000000003</v>
      </c>
      <c r="I109" s="22">
        <f t="shared" si="22"/>
        <v>145602.20000000001</v>
      </c>
      <c r="J109" s="22">
        <f t="shared" si="22"/>
        <v>75996</v>
      </c>
      <c r="K109" s="22">
        <f>SUM(K100:K108)</f>
        <v>152725</v>
      </c>
    </row>
    <row r="110" spans="1:11" ht="13.5" customHeight="1">
      <c r="A110" s="201" t="s">
        <v>208</v>
      </c>
      <c r="B110" s="21"/>
      <c r="C110" s="22">
        <v>684</v>
      </c>
      <c r="D110" s="22">
        <v>1197</v>
      </c>
      <c r="E110" s="22">
        <v>1150</v>
      </c>
      <c r="F110" s="22">
        <v>836</v>
      </c>
      <c r="G110" s="22">
        <v>921</v>
      </c>
      <c r="H110" s="22">
        <v>606.37</v>
      </c>
      <c r="I110" s="22">
        <v>0</v>
      </c>
      <c r="J110" s="22">
        <v>0</v>
      </c>
      <c r="K110" s="22">
        <v>0</v>
      </c>
    </row>
    <row r="111" spans="1:11" s="20" customFormat="1" ht="13.5" customHeight="1">
      <c r="A111" s="223" t="s">
        <v>206</v>
      </c>
      <c r="B111" s="155"/>
      <c r="C111" s="156">
        <f>+C109+C110</f>
        <v>339300</v>
      </c>
      <c r="D111" s="156">
        <f t="shared" ref="D111:K111" si="23">+D109+D110</f>
        <v>712582</v>
      </c>
      <c r="E111" s="156">
        <f t="shared" si="23"/>
        <v>769862</v>
      </c>
      <c r="F111" s="156">
        <f t="shared" si="23"/>
        <v>413721</v>
      </c>
      <c r="G111" s="156">
        <f t="shared" si="23"/>
        <v>809182</v>
      </c>
      <c r="H111" s="156">
        <f t="shared" si="23"/>
        <v>290862.34000000003</v>
      </c>
      <c r="I111" s="156">
        <f t="shared" si="23"/>
        <v>145602.20000000001</v>
      </c>
      <c r="J111" s="156">
        <f t="shared" si="23"/>
        <v>75996</v>
      </c>
      <c r="K111" s="156">
        <f t="shared" si="23"/>
        <v>152725</v>
      </c>
    </row>
    <row r="112" spans="1:11" ht="13.5" customHeight="1">
      <c r="A112" s="213" t="s">
        <v>111</v>
      </c>
      <c r="B112" s="27"/>
      <c r="C112" s="50"/>
      <c r="D112" s="50"/>
      <c r="E112" s="50"/>
      <c r="F112" s="50"/>
      <c r="G112" s="50"/>
      <c r="H112" s="50"/>
      <c r="I112" s="50"/>
      <c r="J112" s="50"/>
      <c r="K112" s="51"/>
    </row>
    <row r="113" spans="1:11" ht="13.5" customHeight="1">
      <c r="A113" s="218"/>
      <c r="B113" s="27" t="s">
        <v>112</v>
      </c>
      <c r="C113" s="28">
        <v>43646</v>
      </c>
      <c r="D113" s="28">
        <v>0</v>
      </c>
      <c r="E113" s="28">
        <v>19870</v>
      </c>
      <c r="F113" s="28">
        <v>121811</v>
      </c>
      <c r="G113" s="28">
        <v>150552</v>
      </c>
      <c r="H113" s="28">
        <v>164058.64000000001</v>
      </c>
      <c r="I113" s="28">
        <v>64487.880000000005</v>
      </c>
      <c r="J113" s="28">
        <v>0</v>
      </c>
      <c r="K113" s="18">
        <v>0</v>
      </c>
    </row>
    <row r="114" spans="1:11" ht="13.5" customHeight="1">
      <c r="A114" s="218"/>
      <c r="B114" s="27" t="s">
        <v>39</v>
      </c>
      <c r="C114" s="28">
        <f>C61</f>
        <v>361112</v>
      </c>
      <c r="D114" s="28">
        <f t="shared" ref="D114:K114" si="24">D61</f>
        <v>304666</v>
      </c>
      <c r="E114" s="28">
        <f t="shared" si="24"/>
        <v>-23763</v>
      </c>
      <c r="F114" s="28">
        <f t="shared" si="24"/>
        <v>63292</v>
      </c>
      <c r="G114" s="28">
        <f t="shared" si="24"/>
        <v>68939</v>
      </c>
      <c r="H114" s="28">
        <f t="shared" si="24"/>
        <v>373529.13000000035</v>
      </c>
      <c r="I114" s="28">
        <f t="shared" si="24"/>
        <v>37193.699999999997</v>
      </c>
      <c r="J114" s="28">
        <f t="shared" si="24"/>
        <v>54466</v>
      </c>
      <c r="K114" s="28">
        <f t="shared" si="24"/>
        <v>-113312</v>
      </c>
    </row>
    <row r="115" spans="1:11" ht="13.5" customHeight="1">
      <c r="A115" s="218"/>
      <c r="B115" s="27" t="s">
        <v>212</v>
      </c>
      <c r="C115" s="28">
        <f>C62</f>
        <v>-251361</v>
      </c>
      <c r="D115" s="28">
        <f t="shared" ref="D115:K115" si="25">D62</f>
        <v>-376014</v>
      </c>
      <c r="E115" s="28">
        <f t="shared" si="25"/>
        <v>-362803</v>
      </c>
      <c r="F115" s="28">
        <f t="shared" si="25"/>
        <v>-247643</v>
      </c>
      <c r="G115" s="28">
        <f t="shared" si="25"/>
        <v>-295090</v>
      </c>
      <c r="H115" s="28">
        <f t="shared" si="25"/>
        <v>-169278.32</v>
      </c>
      <c r="I115" s="28">
        <f t="shared" si="25"/>
        <v>0</v>
      </c>
      <c r="J115" s="28">
        <f t="shared" si="25"/>
        <v>0</v>
      </c>
      <c r="K115" s="28">
        <f t="shared" si="25"/>
        <v>0</v>
      </c>
    </row>
    <row r="116" spans="1:11" ht="13.5" customHeight="1">
      <c r="A116" s="218"/>
      <c r="B116" s="27" t="s">
        <v>40</v>
      </c>
      <c r="C116" s="28">
        <f>C63</f>
        <v>0</v>
      </c>
      <c r="D116" s="28">
        <f t="shared" ref="D116:K116" si="26">D63</f>
        <v>0</v>
      </c>
      <c r="E116" s="28">
        <f t="shared" si="26"/>
        <v>0</v>
      </c>
      <c r="F116" s="28">
        <f t="shared" si="26"/>
        <v>14497</v>
      </c>
      <c r="G116" s="28">
        <f t="shared" si="26"/>
        <v>0</v>
      </c>
      <c r="H116" s="28">
        <f t="shared" si="26"/>
        <v>0</v>
      </c>
      <c r="I116" s="28">
        <f t="shared" si="26"/>
        <v>9488.77</v>
      </c>
      <c r="J116" s="28">
        <f t="shared" si="26"/>
        <v>0</v>
      </c>
      <c r="K116" s="28">
        <f t="shared" si="26"/>
        <v>0</v>
      </c>
    </row>
    <row r="117" spans="1:11" ht="13.5" customHeight="1">
      <c r="A117" s="218"/>
      <c r="B117" s="27" t="s">
        <v>113</v>
      </c>
      <c r="C117" s="28">
        <f>C64</f>
        <v>977938</v>
      </c>
      <c r="D117" s="28">
        <f t="shared" ref="D117:K117" si="27">D64</f>
        <v>1102227</v>
      </c>
      <c r="E117" s="28">
        <f t="shared" si="27"/>
        <v>882340</v>
      </c>
      <c r="F117" s="28">
        <f t="shared" si="27"/>
        <v>601465</v>
      </c>
      <c r="G117" s="28">
        <f t="shared" si="27"/>
        <v>1226918</v>
      </c>
      <c r="H117" s="28">
        <f t="shared" si="27"/>
        <v>1509926.9999999995</v>
      </c>
      <c r="I117" s="28">
        <f t="shared" si="27"/>
        <v>877287.4700000002</v>
      </c>
      <c r="J117" s="28">
        <f t="shared" si="27"/>
        <v>1027319</v>
      </c>
      <c r="K117" s="28">
        <f t="shared" si="27"/>
        <v>345631</v>
      </c>
    </row>
    <row r="118" spans="1:11" ht="13.5" customHeight="1">
      <c r="A118" s="224"/>
      <c r="B118" s="54" t="s">
        <v>101</v>
      </c>
      <c r="C118" s="56">
        <v>0</v>
      </c>
      <c r="D118" s="56">
        <v>1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5">
        <v>0</v>
      </c>
    </row>
    <row r="119" spans="1:11" ht="13.5" customHeight="1">
      <c r="A119" s="201" t="s">
        <v>43</v>
      </c>
      <c r="B119" s="58"/>
      <c r="C119" s="59">
        <f>SUM(C113:C118)</f>
        <v>1131335</v>
      </c>
      <c r="D119" s="59">
        <f t="shared" ref="D119:K119" si="28">SUM(D113:D118)</f>
        <v>1030880</v>
      </c>
      <c r="E119" s="59">
        <f t="shared" si="28"/>
        <v>515644</v>
      </c>
      <c r="F119" s="59">
        <f>SUM(F113:F118)</f>
        <v>553422</v>
      </c>
      <c r="G119" s="59">
        <f t="shared" si="28"/>
        <v>1151319</v>
      </c>
      <c r="H119" s="59">
        <f t="shared" si="28"/>
        <v>1878236.45</v>
      </c>
      <c r="I119" s="59">
        <f t="shared" si="28"/>
        <v>988457.82000000018</v>
      </c>
      <c r="J119" s="59">
        <f t="shared" ref="J119" si="29">SUM(J113:J118)</f>
        <v>1081785</v>
      </c>
      <c r="K119" s="59">
        <f t="shared" si="28"/>
        <v>232319</v>
      </c>
    </row>
    <row r="120" spans="1:11" s="20" customFormat="1" ht="13.5" customHeight="1">
      <c r="A120" s="223" t="s">
        <v>211</v>
      </c>
      <c r="B120" s="155"/>
      <c r="C120" s="156">
        <f>SUM(C111:C118)</f>
        <v>1470635</v>
      </c>
      <c r="D120" s="156">
        <f t="shared" ref="D120:K120" si="30">SUM(D111:D118)</f>
        <v>1743462</v>
      </c>
      <c r="E120" s="156">
        <f t="shared" si="30"/>
        <v>1285506</v>
      </c>
      <c r="F120" s="156">
        <f t="shared" si="30"/>
        <v>967143</v>
      </c>
      <c r="G120" s="156">
        <f t="shared" si="30"/>
        <v>1960501</v>
      </c>
      <c r="H120" s="156">
        <f t="shared" si="30"/>
        <v>2169098.79</v>
      </c>
      <c r="I120" s="156">
        <f t="shared" si="30"/>
        <v>1134060.0200000003</v>
      </c>
      <c r="J120" s="156">
        <f t="shared" ref="J120" si="31">SUM(J111:J118)</f>
        <v>1157781</v>
      </c>
      <c r="K120" s="156">
        <f t="shared" si="30"/>
        <v>385044</v>
      </c>
    </row>
    <row r="121" spans="1:11" ht="13.5" hidden="1" customHeight="1">
      <c r="A121" s="61"/>
      <c r="B121" s="53" t="s">
        <v>83</v>
      </c>
      <c r="C121" s="73">
        <f>+C98-C120</f>
        <v>2</v>
      </c>
      <c r="D121" s="73">
        <f t="shared" ref="D121:K121" si="32">+D98-D120</f>
        <v>0</v>
      </c>
      <c r="E121" s="73">
        <f t="shared" si="32"/>
        <v>-1</v>
      </c>
      <c r="F121" s="73">
        <f t="shared" si="32"/>
        <v>0</v>
      </c>
      <c r="G121" s="73">
        <f t="shared" si="32"/>
        <v>1</v>
      </c>
      <c r="H121" s="73">
        <f t="shared" si="32"/>
        <v>0</v>
      </c>
      <c r="I121" s="73">
        <f>+I98-I120</f>
        <v>0</v>
      </c>
      <c r="J121" s="73">
        <f>+J98-J120</f>
        <v>0</v>
      </c>
      <c r="K121" s="73">
        <f t="shared" si="32"/>
        <v>0</v>
      </c>
    </row>
    <row r="122" spans="1:11" ht="13.5" customHeight="1">
      <c r="A122" s="53"/>
      <c r="B122" s="78"/>
      <c r="C122" s="79"/>
      <c r="D122" s="79"/>
      <c r="E122" s="79"/>
      <c r="F122" s="79"/>
      <c r="G122" s="79"/>
      <c r="H122" s="80"/>
      <c r="I122" s="79"/>
      <c r="J122" s="79"/>
      <c r="K122" s="79"/>
    </row>
    <row r="123" spans="1:11" ht="38.25" customHeight="1">
      <c r="A123" s="262" t="s">
        <v>114</v>
      </c>
      <c r="B123" s="263"/>
      <c r="C123" s="278">
        <f t="shared" ref="C123:K123" si="33">C56/(C32)</f>
        <v>0.37280665929055684</v>
      </c>
      <c r="D123" s="256">
        <f t="shared" si="33"/>
        <v>-0.11926181598747634</v>
      </c>
      <c r="E123" s="256">
        <f t="shared" si="33"/>
        <v>-0.51257436732417083</v>
      </c>
      <c r="F123" s="256">
        <f t="shared" si="33"/>
        <v>-2.9259460490915684E-2</v>
      </c>
      <c r="G123" s="256">
        <f t="shared" si="33"/>
        <v>-1.2129895179682932E-2</v>
      </c>
      <c r="H123" s="256">
        <f t="shared" si="33"/>
        <v>-0.22808301772048278</v>
      </c>
      <c r="I123" s="256">
        <f t="shared" si="33"/>
        <v>-0.18636599859344791</v>
      </c>
      <c r="J123" s="256">
        <f t="shared" ref="J123" si="34">J56/(J32)</f>
        <v>-0.41231939949434732</v>
      </c>
      <c r="K123" s="256">
        <f t="shared" si="33"/>
        <v>-0.53008010015558149</v>
      </c>
    </row>
    <row r="124" spans="1:11" ht="24">
      <c r="A124" s="192"/>
      <c r="B124" s="193" t="s">
        <v>115</v>
      </c>
      <c r="C124" s="279"/>
      <c r="D124" s="256"/>
      <c r="E124" s="256"/>
      <c r="F124" s="256"/>
      <c r="G124" s="256"/>
      <c r="H124" s="256"/>
      <c r="I124" s="256"/>
      <c r="J124" s="256"/>
      <c r="K124" s="256"/>
    </row>
    <row r="125" spans="1:11" ht="14.25">
      <c r="A125" s="194" t="s">
        <v>188</v>
      </c>
      <c r="B125" s="195"/>
      <c r="C125" s="253">
        <f t="shared" ref="C125:K125" si="35">(SUM(C84:C85))/SUM(C100:C105)</f>
        <v>10.967224014381049</v>
      </c>
      <c r="D125" s="253">
        <f t="shared" si="35"/>
        <v>3.7028705597212754</v>
      </c>
      <c r="E125" s="253">
        <f t="shared" si="35"/>
        <v>0.88764518187619657</v>
      </c>
      <c r="F125" s="253">
        <f t="shared" si="35"/>
        <v>8.4827621518296006</v>
      </c>
      <c r="G125" s="253">
        <f t="shared" si="35"/>
        <v>1.5405367968794446</v>
      </c>
      <c r="H125" s="253">
        <f t="shared" si="35"/>
        <v>152.17374088000062</v>
      </c>
      <c r="I125" s="253">
        <f t="shared" si="35"/>
        <v>2.0410790912613552</v>
      </c>
      <c r="J125" s="253">
        <f t="shared" ref="J125" si="36">(SUM(J84:J85))/SUM(J100:J105)</f>
        <v>1.6180062108532027</v>
      </c>
      <c r="K125" s="253">
        <f t="shared" si="35"/>
        <v>0.23273203470289736</v>
      </c>
    </row>
    <row r="126" spans="1:11" ht="36">
      <c r="A126" s="196"/>
      <c r="B126" s="197" t="s">
        <v>189</v>
      </c>
      <c r="C126" s="254"/>
      <c r="D126" s="254"/>
      <c r="E126" s="254"/>
      <c r="F126" s="254"/>
      <c r="G126" s="254"/>
      <c r="H126" s="254"/>
      <c r="I126" s="254"/>
      <c r="J126" s="254"/>
      <c r="K126" s="254"/>
    </row>
    <row r="127" spans="1:11" ht="14.25">
      <c r="A127" s="194" t="s">
        <v>190</v>
      </c>
      <c r="B127" s="195"/>
      <c r="C127" s="253">
        <f t="shared" ref="C127:K127" si="37">(SUM(C84:C85))/SUM(C100:C106)</f>
        <v>10.967224014381049</v>
      </c>
      <c r="D127" s="253">
        <f t="shared" si="37"/>
        <v>2.6535641205173714</v>
      </c>
      <c r="E127" s="253">
        <f t="shared" si="37"/>
        <v>0.82559147188356941</v>
      </c>
      <c r="F127" s="253">
        <f t="shared" si="37"/>
        <v>5.0809854835411983</v>
      </c>
      <c r="G127" s="253">
        <f t="shared" si="37"/>
        <v>1.5298468234785514</v>
      </c>
      <c r="H127" s="253">
        <f t="shared" si="37"/>
        <v>21.533554944933222</v>
      </c>
      <c r="I127" s="253">
        <f t="shared" si="37"/>
        <v>1.7581920465487468</v>
      </c>
      <c r="J127" s="253">
        <f t="shared" ref="J127" si="38">(SUM(J84:J85))/SUM(J100:J106)</f>
        <v>1.6180062108532027</v>
      </c>
      <c r="K127" s="253">
        <f t="shared" si="37"/>
        <v>0.23273203470289736</v>
      </c>
    </row>
    <row r="128" spans="1:11" ht="24">
      <c r="A128" s="196"/>
      <c r="B128" s="197" t="s">
        <v>191</v>
      </c>
      <c r="C128" s="254"/>
      <c r="D128" s="254"/>
      <c r="E128" s="254"/>
      <c r="F128" s="254"/>
      <c r="G128" s="254"/>
      <c r="H128" s="254"/>
      <c r="I128" s="254"/>
      <c r="J128" s="254"/>
      <c r="K128" s="254"/>
    </row>
    <row r="129" spans="1:11" s="115" customFormat="1" ht="8.1" customHeight="1">
      <c r="A129" s="116"/>
      <c r="B129" s="117"/>
      <c r="C129" s="118"/>
      <c r="D129" s="118"/>
      <c r="E129" s="118"/>
      <c r="F129" s="118"/>
      <c r="G129" s="118"/>
      <c r="H129" s="118"/>
      <c r="I129" s="118"/>
      <c r="J129" s="118"/>
      <c r="K129" s="119"/>
    </row>
    <row r="130" spans="1:11" ht="13.5" customHeight="1">
      <c r="A130" s="199" t="s">
        <v>116</v>
      </c>
      <c r="B130" s="58"/>
      <c r="C130" s="255">
        <f t="shared" ref="C130:K130" si="39">C111/C98</f>
        <v>0.23071634944585237</v>
      </c>
      <c r="D130" s="255">
        <f t="shared" si="39"/>
        <v>0.40871667980145249</v>
      </c>
      <c r="E130" s="255">
        <f t="shared" si="39"/>
        <v>0.5988790397548045</v>
      </c>
      <c r="F130" s="255">
        <f t="shared" si="39"/>
        <v>0.42777645084542826</v>
      </c>
      <c r="G130" s="255">
        <f t="shared" si="39"/>
        <v>0.4127422466286696</v>
      </c>
      <c r="H130" s="255">
        <f t="shared" si="39"/>
        <v>0.13409363434295221</v>
      </c>
      <c r="I130" s="255">
        <f t="shared" si="39"/>
        <v>0.12839020636667892</v>
      </c>
      <c r="J130" s="255">
        <f t="shared" ref="J130" si="40">J111/J98</f>
        <v>6.5639356665897958E-2</v>
      </c>
      <c r="K130" s="255">
        <f t="shared" si="39"/>
        <v>0.3966429810619046</v>
      </c>
    </row>
    <row r="131" spans="1:11" ht="25.5">
      <c r="A131" s="192"/>
      <c r="B131" s="198" t="s">
        <v>117</v>
      </c>
      <c r="C131" s="255"/>
      <c r="D131" s="255"/>
      <c r="E131" s="255"/>
      <c r="F131" s="255"/>
      <c r="G131" s="255"/>
      <c r="H131" s="255"/>
      <c r="I131" s="255"/>
      <c r="J131" s="255"/>
      <c r="K131" s="255"/>
    </row>
    <row r="132" spans="1:11" ht="13.5" customHeight="1">
      <c r="A132" s="199" t="s">
        <v>118</v>
      </c>
      <c r="B132" s="200"/>
      <c r="C132" s="255">
        <f t="shared" ref="C132:K132" si="41">C119/C98</f>
        <v>0.76928229059924369</v>
      </c>
      <c r="D132" s="255">
        <f t="shared" si="41"/>
        <v>0.59128332019854746</v>
      </c>
      <c r="E132" s="255">
        <f t="shared" si="41"/>
        <v>0.40112173814959878</v>
      </c>
      <c r="F132" s="255">
        <f t="shared" si="41"/>
        <v>0.57222354915457174</v>
      </c>
      <c r="G132" s="255">
        <f t="shared" si="41"/>
        <v>0.58725724329788997</v>
      </c>
      <c r="H132" s="255">
        <f t="shared" si="41"/>
        <v>0.86590636565704793</v>
      </c>
      <c r="I132" s="255">
        <f t="shared" si="41"/>
        <v>0.87160979363332125</v>
      </c>
      <c r="J132" s="255">
        <f t="shared" ref="J132" si="42">J119/J98</f>
        <v>0.93436064333410207</v>
      </c>
      <c r="K132" s="255">
        <f t="shared" si="41"/>
        <v>0.60335701893809535</v>
      </c>
    </row>
    <row r="133" spans="1:11" ht="24">
      <c r="A133" s="192"/>
      <c r="B133" s="193" t="s">
        <v>119</v>
      </c>
      <c r="C133" s="255"/>
      <c r="D133" s="255"/>
      <c r="E133" s="255"/>
      <c r="F133" s="255"/>
      <c r="G133" s="255"/>
      <c r="H133" s="255"/>
      <c r="I133" s="255"/>
      <c r="J133" s="255"/>
      <c r="K133" s="255"/>
    </row>
    <row r="134" spans="1:11" ht="13.5" customHeight="1">
      <c r="A134" s="264" t="s">
        <v>120</v>
      </c>
      <c r="B134" s="265"/>
      <c r="C134" s="255">
        <f t="shared" ref="C134:K134" si="43">C111/C119</f>
        <v>0.29991116689574704</v>
      </c>
      <c r="D134" s="255">
        <f t="shared" si="43"/>
        <v>0.69123661337886078</v>
      </c>
      <c r="E134" s="255">
        <f t="shared" si="43"/>
        <v>1.4930106817882105</v>
      </c>
      <c r="F134" s="255">
        <f t="shared" si="43"/>
        <v>0.74756876307772369</v>
      </c>
      <c r="G134" s="255">
        <f t="shared" si="43"/>
        <v>0.70283040582149692</v>
      </c>
      <c r="H134" s="255">
        <f t="shared" si="43"/>
        <v>0.15485927770169727</v>
      </c>
      <c r="I134" s="255">
        <f t="shared" si="43"/>
        <v>0.14730239070798185</v>
      </c>
      <c r="J134" s="255">
        <f t="shared" ref="J134" si="44">J111/J119</f>
        <v>7.0250558105353647E-2</v>
      </c>
      <c r="K134" s="255">
        <f t="shared" si="43"/>
        <v>0.65739349773371958</v>
      </c>
    </row>
    <row r="135" spans="1:11" ht="13.5" customHeight="1">
      <c r="A135" s="192"/>
      <c r="B135" s="193" t="s">
        <v>121</v>
      </c>
      <c r="C135" s="255"/>
      <c r="D135" s="255"/>
      <c r="E135" s="255"/>
      <c r="F135" s="255"/>
      <c r="G135" s="255"/>
      <c r="H135" s="255"/>
      <c r="I135" s="255"/>
      <c r="J135" s="255"/>
      <c r="K135" s="255"/>
    </row>
    <row r="136" spans="1:11" s="115" customFormat="1" ht="8.1" customHeight="1">
      <c r="A136" s="120"/>
      <c r="B136" s="121"/>
      <c r="C136" s="121"/>
      <c r="D136" s="121"/>
      <c r="E136" s="121"/>
      <c r="F136" s="121"/>
      <c r="G136" s="121"/>
      <c r="H136" s="121"/>
      <c r="I136" s="121"/>
      <c r="J136" s="121"/>
      <c r="K136" s="127"/>
    </row>
    <row r="137" spans="1:11">
      <c r="A137" s="201" t="s">
        <v>122</v>
      </c>
      <c r="B137" s="21"/>
      <c r="C137" s="50">
        <v>0</v>
      </c>
      <c r="D137" s="50">
        <v>3</v>
      </c>
      <c r="E137" s="50">
        <v>3</v>
      </c>
      <c r="F137" s="50">
        <v>1</v>
      </c>
      <c r="G137" s="50">
        <v>2</v>
      </c>
      <c r="H137" s="50">
        <v>3</v>
      </c>
      <c r="I137" s="50">
        <v>3</v>
      </c>
      <c r="J137" s="50">
        <v>3</v>
      </c>
      <c r="K137" s="51"/>
    </row>
    <row r="138" spans="1:11" s="115" customFormat="1" ht="8.1" customHeight="1">
      <c r="A138" s="126"/>
      <c r="B138" s="121"/>
      <c r="C138" s="121"/>
      <c r="D138" s="121"/>
      <c r="E138" s="121"/>
      <c r="F138" s="121"/>
      <c r="G138" s="121"/>
      <c r="H138" s="121"/>
      <c r="I138" s="121"/>
      <c r="J138" s="121"/>
      <c r="K138" s="127"/>
    </row>
    <row r="139" spans="1:11">
      <c r="A139" s="203" t="s">
        <v>123</v>
      </c>
      <c r="B139" s="203"/>
      <c r="C139" s="133">
        <v>9752</v>
      </c>
      <c r="D139" s="133">
        <v>9672</v>
      </c>
      <c r="E139" s="133">
        <v>9675</v>
      </c>
      <c r="F139" s="91">
        <v>12456</v>
      </c>
      <c r="G139" s="128">
        <v>11630</v>
      </c>
      <c r="H139" s="133">
        <v>17071</v>
      </c>
      <c r="I139" s="133">
        <v>13123</v>
      </c>
      <c r="J139" s="133">
        <v>9492</v>
      </c>
      <c r="K139" s="63">
        <v>6823</v>
      </c>
    </row>
    <row r="140" spans="1:11">
      <c r="A140" s="202" t="s">
        <v>124</v>
      </c>
      <c r="B140" s="202"/>
      <c r="C140" s="133">
        <v>3006</v>
      </c>
      <c r="D140" s="133">
        <v>4515</v>
      </c>
      <c r="E140" s="133">
        <v>8136</v>
      </c>
      <c r="F140" s="91">
        <v>4487</v>
      </c>
      <c r="G140" s="128">
        <v>4755</v>
      </c>
      <c r="H140" s="133">
        <v>3105</v>
      </c>
      <c r="I140" s="50">
        <v>10124</v>
      </c>
      <c r="J140" s="50">
        <v>156</v>
      </c>
      <c r="K140" s="63">
        <v>424</v>
      </c>
    </row>
    <row r="141" spans="1:11">
      <c r="A141" s="202" t="s">
        <v>125</v>
      </c>
      <c r="B141" s="202"/>
      <c r="C141" s="133">
        <v>12758</v>
      </c>
      <c r="D141" s="133">
        <v>14187</v>
      </c>
      <c r="E141" s="133">
        <v>17811</v>
      </c>
      <c r="F141" s="91">
        <v>16943</v>
      </c>
      <c r="G141" s="128">
        <v>16385</v>
      </c>
      <c r="H141" s="133">
        <v>20176</v>
      </c>
      <c r="I141" s="133">
        <v>23247</v>
      </c>
      <c r="J141" s="133">
        <v>9648</v>
      </c>
      <c r="K141" s="63">
        <v>7247</v>
      </c>
    </row>
    <row r="142" spans="1:11">
      <c r="F142" s="82"/>
    </row>
    <row r="144" spans="1:11">
      <c r="A144" s="152"/>
      <c r="B144" s="48"/>
    </row>
    <row r="145" spans="1:2">
      <c r="A145" s="152"/>
      <c r="B145" s="48"/>
    </row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8:B79"/>
    <mergeCell ref="A123:B123"/>
    <mergeCell ref="A134:B134"/>
    <mergeCell ref="C123:C124"/>
    <mergeCell ref="D123:D124"/>
    <mergeCell ref="C125:C126"/>
    <mergeCell ref="D125:D126"/>
    <mergeCell ref="C127:C128"/>
    <mergeCell ref="D127:D128"/>
    <mergeCell ref="C130:C131"/>
    <mergeCell ref="D130:D131"/>
    <mergeCell ref="C132:C133"/>
    <mergeCell ref="D132:D133"/>
    <mergeCell ref="C134:C135"/>
    <mergeCell ref="D134:D135"/>
    <mergeCell ref="J123:J124"/>
    <mergeCell ref="K123:K124"/>
    <mergeCell ref="E123:E124"/>
    <mergeCell ref="F123:F124"/>
    <mergeCell ref="G123:G124"/>
    <mergeCell ref="H123:H124"/>
    <mergeCell ref="I123:I124"/>
    <mergeCell ref="J125:J126"/>
    <mergeCell ref="K125:K126"/>
    <mergeCell ref="E125:E126"/>
    <mergeCell ref="F125:F126"/>
    <mergeCell ref="G125:G126"/>
    <mergeCell ref="H125:H126"/>
    <mergeCell ref="I125:I126"/>
    <mergeCell ref="J127:J128"/>
    <mergeCell ref="K127:K128"/>
    <mergeCell ref="E127:E128"/>
    <mergeCell ref="F127:F128"/>
    <mergeCell ref="G127:G128"/>
    <mergeCell ref="H127:H128"/>
    <mergeCell ref="I127:I128"/>
    <mergeCell ref="J130:J131"/>
    <mergeCell ref="K130:K131"/>
    <mergeCell ref="E130:E131"/>
    <mergeCell ref="F130:F131"/>
    <mergeCell ref="G130:G131"/>
    <mergeCell ref="H130:H131"/>
    <mergeCell ref="I130:I131"/>
    <mergeCell ref="J132:J133"/>
    <mergeCell ref="K132:K133"/>
    <mergeCell ref="E132:E133"/>
    <mergeCell ref="F132:F133"/>
    <mergeCell ref="G132:G133"/>
    <mergeCell ref="H132:H133"/>
    <mergeCell ref="I132:I133"/>
    <mergeCell ref="J134:J135"/>
    <mergeCell ref="K134:K135"/>
    <mergeCell ref="E134:E135"/>
    <mergeCell ref="F134:F135"/>
    <mergeCell ref="G134:G135"/>
    <mergeCell ref="H134:H135"/>
    <mergeCell ref="I134:I135"/>
  </mergeCells>
  <conditionalFormatting sqref="C123:I124 K123:K124">
    <cfRule type="cellIs" dxfId="44" priority="6" operator="lessThan">
      <formula>0</formula>
    </cfRule>
  </conditionalFormatting>
  <conditionalFormatting sqref="C66:I66 K66">
    <cfRule type="cellIs" dxfId="43" priority="5" operator="lessThan">
      <formula>0</formula>
    </cfRule>
  </conditionalFormatting>
  <conditionalFormatting sqref="J66">
    <cfRule type="cellIs" dxfId="42" priority="2" operator="lessThan">
      <formula>0</formula>
    </cfRule>
  </conditionalFormatting>
  <conditionalFormatting sqref="J123:J124">
    <cfRule type="cellIs" dxfId="41" priority="1" operator="lessThan">
      <formula>0</formula>
    </cfRule>
  </conditionalFormatting>
  <printOptions horizontalCentered="1"/>
  <pageMargins left="0.5" right="0.5" top="0.75" bottom="0.35" header="0.5" footer="0.15"/>
  <pageSetup scale="67" orientation="portrait" r:id="rId1"/>
  <headerFooter alignWithMargins="0">
    <oddHeader>&amp;C&amp;"Arial,Bold"&amp;14CLASS II FAIRS</oddHeader>
    <oddFooter>&amp;CFairs and Expositions</oddFooter>
  </headerFooter>
  <rowBreaks count="1" manualBreakCount="1">
    <brk id="77" max="16383" man="1"/>
  </rowBreaks>
  <colBreaks count="1" manualBreakCount="1">
    <brk id="7" max="14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5"/>
  <sheetViews>
    <sheetView view="pageBreakPreview" zoomScale="85" zoomScaleNormal="9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3" width="13" style="44" customWidth="1"/>
    <col min="4" max="13" width="12.7109375" style="10" customWidth="1"/>
    <col min="14" max="14" width="12.7109375" style="44" customWidth="1"/>
    <col min="15" max="16" width="12.7109375" style="10" customWidth="1"/>
    <col min="17" max="16384" width="9.140625" style="10"/>
  </cols>
  <sheetData>
    <row r="1" spans="1:16" ht="12" customHeight="1">
      <c r="A1" s="266"/>
      <c r="B1" s="267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29"/>
      <c r="O1" s="211"/>
      <c r="P1" s="211"/>
    </row>
    <row r="2" spans="1:16" ht="12" customHeight="1">
      <c r="A2" s="268"/>
      <c r="B2" s="269"/>
      <c r="C2" s="272" t="s">
        <v>133</v>
      </c>
      <c r="D2" s="272" t="s">
        <v>134</v>
      </c>
      <c r="E2" s="272" t="s">
        <v>135</v>
      </c>
      <c r="F2" s="272" t="s">
        <v>136</v>
      </c>
      <c r="G2" s="272" t="s">
        <v>231</v>
      </c>
      <c r="H2" s="272" t="s">
        <v>137</v>
      </c>
      <c r="I2" s="272" t="s">
        <v>138</v>
      </c>
      <c r="J2" s="272" t="s">
        <v>139</v>
      </c>
      <c r="K2" s="272" t="s">
        <v>140</v>
      </c>
      <c r="L2" s="272" t="s">
        <v>141</v>
      </c>
      <c r="M2" s="272" t="s">
        <v>142</v>
      </c>
      <c r="N2" s="272" t="s">
        <v>198</v>
      </c>
      <c r="O2" s="272" t="s">
        <v>143</v>
      </c>
      <c r="P2" s="272" t="s">
        <v>144</v>
      </c>
    </row>
    <row r="3" spans="1:16" ht="69" customHeight="1">
      <c r="A3" s="270"/>
      <c r="B3" s="271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</row>
    <row r="4" spans="1:16" ht="13.5" customHeight="1">
      <c r="A4" s="213" t="s">
        <v>218</v>
      </c>
      <c r="B4" s="11"/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  <c r="O4" s="34"/>
      <c r="P4" s="35"/>
    </row>
    <row r="5" spans="1:16" ht="13.5" customHeight="1">
      <c r="A5" s="213"/>
      <c r="B5" s="11" t="s">
        <v>39</v>
      </c>
      <c r="C5" s="13">
        <v>-200943</v>
      </c>
      <c r="D5" s="13">
        <v>519260</v>
      </c>
      <c r="E5" s="169">
        <v>660960</v>
      </c>
      <c r="F5" s="169">
        <v>332680</v>
      </c>
      <c r="G5" s="169">
        <v>130807</v>
      </c>
      <c r="H5" s="13">
        <v>129836</v>
      </c>
      <c r="I5" s="13">
        <v>120348</v>
      </c>
      <c r="J5" s="13">
        <v>110439</v>
      </c>
      <c r="K5" s="13">
        <v>62552.1</v>
      </c>
      <c r="L5" s="13">
        <v>312151</v>
      </c>
      <c r="M5" s="13">
        <v>2332479</v>
      </c>
      <c r="N5" s="14">
        <v>1632522</v>
      </c>
      <c r="O5" s="13">
        <v>44312</v>
      </c>
      <c r="P5" s="245">
        <v>413967</v>
      </c>
    </row>
    <row r="6" spans="1:16" ht="13.5" customHeight="1">
      <c r="A6" s="213"/>
      <c r="B6" s="11" t="s">
        <v>217</v>
      </c>
      <c r="C6" s="28">
        <v>-393859</v>
      </c>
      <c r="D6" s="28">
        <v>-468816</v>
      </c>
      <c r="E6" s="29">
        <v>-565676</v>
      </c>
      <c r="F6" s="16">
        <v>-305598</v>
      </c>
      <c r="G6" s="16">
        <v>-33000</v>
      </c>
      <c r="H6" s="28">
        <v>0</v>
      </c>
      <c r="I6" s="28">
        <v>-360971</v>
      </c>
      <c r="J6" s="28">
        <v>-252108</v>
      </c>
      <c r="K6" s="28">
        <v>-460663.37</v>
      </c>
      <c r="L6" s="28">
        <v>-180672</v>
      </c>
      <c r="M6" s="28">
        <v>-608965</v>
      </c>
      <c r="N6" s="18">
        <v>0</v>
      </c>
      <c r="O6" s="28">
        <v>0</v>
      </c>
      <c r="P6" s="242">
        <v>0</v>
      </c>
    </row>
    <row r="7" spans="1:16" ht="13.5" customHeight="1">
      <c r="A7" s="213"/>
      <c r="B7" s="11" t="s">
        <v>40</v>
      </c>
      <c r="C7" s="28">
        <v>0</v>
      </c>
      <c r="D7" s="28">
        <v>0</v>
      </c>
      <c r="E7" s="29">
        <v>0</v>
      </c>
      <c r="F7" s="16">
        <v>0</v>
      </c>
      <c r="G7" s="16"/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18">
        <v>0</v>
      </c>
      <c r="O7" s="28">
        <v>0</v>
      </c>
      <c r="P7" s="242">
        <v>0</v>
      </c>
    </row>
    <row r="8" spans="1:16" ht="13.5" customHeight="1">
      <c r="A8" s="213"/>
      <c r="B8" s="11" t="s">
        <v>41</v>
      </c>
      <c r="C8" s="15">
        <v>1516653</v>
      </c>
      <c r="D8" s="29">
        <v>686967</v>
      </c>
      <c r="E8" s="29">
        <v>1203347</v>
      </c>
      <c r="F8" s="16">
        <v>820076</v>
      </c>
      <c r="G8" s="16">
        <v>1730639</v>
      </c>
      <c r="H8" s="29">
        <v>686352</v>
      </c>
      <c r="I8" s="29">
        <v>839733</v>
      </c>
      <c r="J8" s="29">
        <v>1134357</v>
      </c>
      <c r="K8" s="29">
        <v>1235591</v>
      </c>
      <c r="L8" s="29">
        <v>814400</v>
      </c>
      <c r="M8" s="29">
        <v>1524163</v>
      </c>
      <c r="N8" s="16">
        <v>543676</v>
      </c>
      <c r="O8" s="15">
        <v>661154</v>
      </c>
      <c r="P8" s="242">
        <v>1570387</v>
      </c>
    </row>
    <row r="9" spans="1:16" ht="13.5" customHeight="1">
      <c r="A9" s="213"/>
      <c r="B9" s="11" t="s">
        <v>42</v>
      </c>
      <c r="C9" s="67">
        <v>0</v>
      </c>
      <c r="D9" s="83">
        <v>0</v>
      </c>
      <c r="E9" s="83">
        <v>0</v>
      </c>
      <c r="F9" s="66">
        <v>-55850</v>
      </c>
      <c r="G9" s="66"/>
      <c r="H9" s="83">
        <v>-402144</v>
      </c>
      <c r="I9" s="83">
        <v>0</v>
      </c>
      <c r="J9" s="83">
        <v>0</v>
      </c>
      <c r="K9" s="83">
        <v>-1236.98</v>
      </c>
      <c r="L9" s="83">
        <v>0</v>
      </c>
      <c r="M9" s="83">
        <v>0</v>
      </c>
      <c r="N9" s="66">
        <v>0</v>
      </c>
      <c r="O9" s="67">
        <v>0</v>
      </c>
      <c r="P9" s="243">
        <v>0</v>
      </c>
    </row>
    <row r="10" spans="1:16" s="20" customFormat="1" ht="13.5" customHeight="1" thickBot="1">
      <c r="A10" s="214"/>
      <c r="B10" s="84" t="s">
        <v>43</v>
      </c>
      <c r="C10" s="60">
        <f>SUM(C5:C9)</f>
        <v>921851</v>
      </c>
      <c r="D10" s="60">
        <f t="shared" ref="D10:P10" si="0">SUM(D5:D9)</f>
        <v>737411</v>
      </c>
      <c r="E10" s="60">
        <f t="shared" si="0"/>
        <v>1298631</v>
      </c>
      <c r="F10" s="60">
        <f t="shared" si="0"/>
        <v>791308</v>
      </c>
      <c r="G10" s="60">
        <f t="shared" ref="G10" si="1">SUM(G5:G9)</f>
        <v>1828446</v>
      </c>
      <c r="H10" s="60">
        <f t="shared" si="0"/>
        <v>414044</v>
      </c>
      <c r="I10" s="60">
        <f t="shared" si="0"/>
        <v>599110</v>
      </c>
      <c r="J10" s="60">
        <f t="shared" si="0"/>
        <v>992688</v>
      </c>
      <c r="K10" s="60">
        <f t="shared" si="0"/>
        <v>836242.75</v>
      </c>
      <c r="L10" s="60">
        <f t="shared" si="0"/>
        <v>945879</v>
      </c>
      <c r="M10" s="60">
        <f t="shared" si="0"/>
        <v>3247677</v>
      </c>
      <c r="N10" s="60">
        <f t="shared" ref="N10" si="2">SUM(N5:N9)</f>
        <v>2176198</v>
      </c>
      <c r="O10" s="60">
        <f t="shared" si="0"/>
        <v>705466</v>
      </c>
      <c r="P10" s="60">
        <f t="shared" si="0"/>
        <v>1984354</v>
      </c>
    </row>
    <row r="11" spans="1:16" s="20" customFormat="1" ht="13.5" customHeight="1">
      <c r="A11" s="192" t="s">
        <v>44</v>
      </c>
      <c r="B11" s="33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s="20" customFormat="1" ht="13.5" customHeight="1">
      <c r="A12" s="215"/>
      <c r="B12" s="21" t="s">
        <v>45</v>
      </c>
      <c r="C12" s="22">
        <v>42009</v>
      </c>
      <c r="D12" s="22">
        <v>42009</v>
      </c>
      <c r="E12" s="22">
        <v>42009</v>
      </c>
      <c r="F12" s="22">
        <v>42009</v>
      </c>
      <c r="G12" s="22">
        <v>21005</v>
      </c>
      <c r="H12" s="22">
        <v>42009</v>
      </c>
      <c r="I12" s="22">
        <v>42009</v>
      </c>
      <c r="J12" s="22">
        <v>42009</v>
      </c>
      <c r="K12" s="22">
        <v>117018</v>
      </c>
      <c r="L12" s="22">
        <v>42009</v>
      </c>
      <c r="M12" s="22">
        <v>42009</v>
      </c>
      <c r="N12" s="22">
        <v>44670</v>
      </c>
      <c r="O12" s="22">
        <v>42009</v>
      </c>
      <c r="P12" s="22">
        <v>42009</v>
      </c>
    </row>
    <row r="13" spans="1:16" s="20" customFormat="1" ht="13.5" customHeight="1">
      <c r="A13" s="215"/>
      <c r="B13" s="21" t="s">
        <v>46</v>
      </c>
      <c r="C13" s="22">
        <v>106528</v>
      </c>
      <c r="D13" s="22">
        <v>0</v>
      </c>
      <c r="E13" s="22">
        <v>38387</v>
      </c>
      <c r="F13" s="22">
        <v>5440</v>
      </c>
      <c r="G13" s="22">
        <v>0</v>
      </c>
      <c r="H13" s="22">
        <v>34783</v>
      </c>
      <c r="I13" s="22">
        <v>0</v>
      </c>
      <c r="J13" s="22">
        <v>2291</v>
      </c>
      <c r="K13" s="22">
        <v>36257.78</v>
      </c>
      <c r="L13" s="22">
        <v>8070</v>
      </c>
      <c r="M13" s="22">
        <v>5249</v>
      </c>
      <c r="N13" s="22">
        <v>264</v>
      </c>
      <c r="O13" s="22">
        <v>0</v>
      </c>
      <c r="P13" s="22">
        <v>63059</v>
      </c>
    </row>
    <row r="14" spans="1:16" s="20" customFormat="1" ht="13.5" customHeight="1" thickBot="1">
      <c r="A14" s="216"/>
      <c r="B14" s="30" t="s">
        <v>47</v>
      </c>
      <c r="C14" s="31">
        <f>975+15500</f>
        <v>16475</v>
      </c>
      <c r="D14" s="31">
        <f>2661+35308</f>
        <v>37969</v>
      </c>
      <c r="E14" s="31">
        <v>2661</v>
      </c>
      <c r="F14" s="31">
        <v>2661</v>
      </c>
      <c r="G14" s="31">
        <v>-545</v>
      </c>
      <c r="H14" s="31">
        <v>0</v>
      </c>
      <c r="I14" s="31">
        <v>61627</v>
      </c>
      <c r="J14" s="31">
        <v>538433</v>
      </c>
      <c r="K14" s="31">
        <v>18000</v>
      </c>
      <c r="L14" s="31">
        <f>765+8886</f>
        <v>9651</v>
      </c>
      <c r="M14" s="31">
        <v>2531</v>
      </c>
      <c r="N14" s="31">
        <v>25676</v>
      </c>
      <c r="O14" s="31">
        <v>0</v>
      </c>
      <c r="P14" s="31">
        <v>2661</v>
      </c>
    </row>
    <row r="15" spans="1:16" ht="13.5" customHeight="1">
      <c r="A15" s="217" t="s">
        <v>48</v>
      </c>
      <c r="B15" s="23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24"/>
      <c r="P15" s="25"/>
    </row>
    <row r="16" spans="1:16" ht="13.5" customHeight="1">
      <c r="A16" s="218"/>
      <c r="B16" s="27" t="s">
        <v>49</v>
      </c>
      <c r="C16" s="17">
        <v>48767</v>
      </c>
      <c r="D16" s="28">
        <v>93332</v>
      </c>
      <c r="E16" s="28">
        <v>124614</v>
      </c>
      <c r="F16" s="28">
        <v>188836</v>
      </c>
      <c r="G16" s="28">
        <v>128627</v>
      </c>
      <c r="H16" s="28">
        <v>153592</v>
      </c>
      <c r="I16" s="28">
        <v>84337</v>
      </c>
      <c r="J16" s="28">
        <v>141280</v>
      </c>
      <c r="K16" s="28">
        <v>74543</v>
      </c>
      <c r="L16" s="28">
        <v>206295</v>
      </c>
      <c r="M16" s="28">
        <v>0</v>
      </c>
      <c r="N16" s="18">
        <v>48798</v>
      </c>
      <c r="O16" s="17">
        <v>243323</v>
      </c>
      <c r="P16" s="28">
        <v>272220</v>
      </c>
    </row>
    <row r="17" spans="1:16" ht="13.5" customHeight="1">
      <c r="A17" s="218"/>
      <c r="B17" s="27" t="s">
        <v>50</v>
      </c>
      <c r="C17" s="17">
        <v>5629</v>
      </c>
      <c r="D17" s="28">
        <v>39651</v>
      </c>
      <c r="E17" s="28">
        <v>13950</v>
      </c>
      <c r="F17" s="28">
        <v>26405</v>
      </c>
      <c r="G17" s="28">
        <v>12583</v>
      </c>
      <c r="H17" s="28">
        <v>27753</v>
      </c>
      <c r="I17" s="28">
        <v>21115</v>
      </c>
      <c r="J17" s="28">
        <v>35346</v>
      </c>
      <c r="K17" s="28">
        <v>14950</v>
      </c>
      <c r="L17" s="28">
        <v>9166</v>
      </c>
      <c r="M17" s="28">
        <v>83170</v>
      </c>
      <c r="N17" s="18">
        <v>10985</v>
      </c>
      <c r="O17" s="17">
        <v>34264</v>
      </c>
      <c r="P17" s="28">
        <v>53425</v>
      </c>
    </row>
    <row r="18" spans="1:16" ht="13.5" customHeight="1">
      <c r="A18" s="218"/>
      <c r="B18" s="27" t="s">
        <v>51</v>
      </c>
      <c r="C18" s="17">
        <v>0</v>
      </c>
      <c r="D18" s="28">
        <v>91367</v>
      </c>
      <c r="E18" s="28">
        <v>63037</v>
      </c>
      <c r="F18" s="28">
        <v>112019</v>
      </c>
      <c r="G18" s="28">
        <v>72790</v>
      </c>
      <c r="H18" s="28">
        <v>70217</v>
      </c>
      <c r="I18" s="28">
        <v>60241</v>
      </c>
      <c r="J18" s="28">
        <v>0</v>
      </c>
      <c r="K18" s="28">
        <v>50712</v>
      </c>
      <c r="L18" s="28">
        <v>0</v>
      </c>
      <c r="M18" s="28">
        <v>238375</v>
      </c>
      <c r="N18" s="18">
        <v>19113</v>
      </c>
      <c r="O18" s="17">
        <v>147071</v>
      </c>
      <c r="P18" s="28">
        <v>149364</v>
      </c>
    </row>
    <row r="19" spans="1:16" ht="13.5" customHeight="1">
      <c r="A19" s="218"/>
      <c r="B19" s="27" t="s">
        <v>52</v>
      </c>
      <c r="C19" s="17">
        <v>72579</v>
      </c>
      <c r="D19" s="28">
        <v>102190</v>
      </c>
      <c r="E19" s="28">
        <v>59384</v>
      </c>
      <c r="F19" s="28">
        <v>55821</v>
      </c>
      <c r="G19" s="28">
        <v>36628</v>
      </c>
      <c r="H19" s="28">
        <v>53620</v>
      </c>
      <c r="I19" s="28">
        <v>26149</v>
      </c>
      <c r="J19" s="28">
        <v>125219.33</v>
      </c>
      <c r="K19" s="28">
        <v>27140</v>
      </c>
      <c r="L19" s="28">
        <v>200172</v>
      </c>
      <c r="M19" s="28">
        <v>225304</v>
      </c>
      <c r="N19" s="18">
        <v>16964</v>
      </c>
      <c r="O19" s="17">
        <v>112677</v>
      </c>
      <c r="P19" s="28">
        <v>177395</v>
      </c>
    </row>
    <row r="20" spans="1:16" ht="13.5" customHeight="1">
      <c r="A20" s="218"/>
      <c r="B20" s="27" t="s">
        <v>53</v>
      </c>
      <c r="C20" s="17">
        <v>1643</v>
      </c>
      <c r="D20" s="28">
        <v>14730</v>
      </c>
      <c r="E20" s="28">
        <v>0</v>
      </c>
      <c r="F20" s="28">
        <v>19938</v>
      </c>
      <c r="G20" s="28">
        <v>2772</v>
      </c>
      <c r="H20" s="28">
        <v>16641</v>
      </c>
      <c r="I20" s="28">
        <v>12590</v>
      </c>
      <c r="J20" s="28">
        <v>45006.13</v>
      </c>
      <c r="K20" s="28">
        <v>14497</v>
      </c>
      <c r="L20" s="28">
        <v>20178</v>
      </c>
      <c r="M20" s="28">
        <v>14741</v>
      </c>
      <c r="N20" s="18">
        <v>6703</v>
      </c>
      <c r="O20" s="17">
        <v>80165</v>
      </c>
      <c r="P20" s="28">
        <v>2757</v>
      </c>
    </row>
    <row r="21" spans="1:16" ht="13.5" customHeight="1">
      <c r="A21" s="218"/>
      <c r="B21" s="27" t="s">
        <v>54</v>
      </c>
      <c r="C21" s="17">
        <v>0</v>
      </c>
      <c r="D21" s="28">
        <v>3756</v>
      </c>
      <c r="E21" s="28">
        <v>0</v>
      </c>
      <c r="F21" s="28">
        <v>105</v>
      </c>
      <c r="G21" s="28">
        <v>7513</v>
      </c>
      <c r="H21" s="28">
        <v>0</v>
      </c>
      <c r="I21" s="28">
        <v>0</v>
      </c>
      <c r="J21" s="28">
        <v>28039.99</v>
      </c>
      <c r="K21" s="28">
        <v>515</v>
      </c>
      <c r="L21" s="28">
        <v>6800</v>
      </c>
      <c r="M21" s="28">
        <v>350</v>
      </c>
      <c r="N21" s="18">
        <v>0</v>
      </c>
      <c r="O21" s="17">
        <v>0</v>
      </c>
      <c r="P21" s="28">
        <v>0</v>
      </c>
    </row>
    <row r="22" spans="1:16" ht="13.5" customHeight="1">
      <c r="A22" s="218"/>
      <c r="B22" s="27" t="s">
        <v>55</v>
      </c>
      <c r="C22" s="15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16">
        <v>0</v>
      </c>
      <c r="O22" s="15">
        <v>0</v>
      </c>
      <c r="P22" s="29">
        <v>0</v>
      </c>
    </row>
    <row r="23" spans="1:16" ht="13.5" customHeight="1">
      <c r="A23" s="218"/>
      <c r="B23" s="27" t="s">
        <v>56</v>
      </c>
      <c r="C23" s="1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3887</v>
      </c>
      <c r="K23" s="28">
        <v>0</v>
      </c>
      <c r="L23" s="28">
        <v>0</v>
      </c>
      <c r="M23" s="28">
        <v>0</v>
      </c>
      <c r="N23" s="18">
        <v>0</v>
      </c>
      <c r="O23" s="17">
        <v>0</v>
      </c>
      <c r="P23" s="28">
        <v>0</v>
      </c>
    </row>
    <row r="24" spans="1:16" ht="13.5" customHeight="1">
      <c r="A24" s="218"/>
      <c r="B24" s="27" t="s">
        <v>57</v>
      </c>
      <c r="C24" s="17">
        <v>600</v>
      </c>
      <c r="D24" s="28">
        <v>51875</v>
      </c>
      <c r="E24" s="28">
        <v>2423</v>
      </c>
      <c r="F24" s="28">
        <v>60608</v>
      </c>
      <c r="G24" s="28">
        <v>49997</v>
      </c>
      <c r="H24" s="28">
        <v>11275</v>
      </c>
      <c r="I24" s="28">
        <v>0</v>
      </c>
      <c r="J24" s="28">
        <v>85020</v>
      </c>
      <c r="K24" s="28">
        <v>3370</v>
      </c>
      <c r="L24" s="28">
        <v>0</v>
      </c>
      <c r="M24" s="28">
        <v>145128</v>
      </c>
      <c r="N24" s="18">
        <v>18649</v>
      </c>
      <c r="O24" s="17">
        <v>35356</v>
      </c>
      <c r="P24" s="28">
        <v>0</v>
      </c>
    </row>
    <row r="25" spans="1:16" ht="13.5" customHeight="1">
      <c r="A25" s="218"/>
      <c r="B25" s="27" t="s">
        <v>58</v>
      </c>
      <c r="C25" s="1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18">
        <v>0</v>
      </c>
      <c r="O25" s="17">
        <v>0</v>
      </c>
      <c r="P25" s="28">
        <v>0</v>
      </c>
    </row>
    <row r="26" spans="1:16" ht="13.5" customHeight="1">
      <c r="A26" s="218"/>
      <c r="B26" s="27" t="s">
        <v>59</v>
      </c>
      <c r="C26" s="17">
        <v>0</v>
      </c>
      <c r="D26" s="28">
        <v>0</v>
      </c>
      <c r="E26" s="28">
        <v>160321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5298</v>
      </c>
      <c r="L26" s="28">
        <v>0</v>
      </c>
      <c r="M26" s="28">
        <v>0</v>
      </c>
      <c r="N26" s="18">
        <v>643589</v>
      </c>
      <c r="O26" s="17">
        <v>0</v>
      </c>
      <c r="P26" s="28">
        <v>0</v>
      </c>
    </row>
    <row r="27" spans="1:16" ht="13.5" customHeight="1">
      <c r="A27" s="218"/>
      <c r="B27" s="27" t="s">
        <v>60</v>
      </c>
      <c r="C27" s="17">
        <v>23365</v>
      </c>
      <c r="D27" s="28">
        <v>175108</v>
      </c>
      <c r="E27" s="28">
        <v>70230</v>
      </c>
      <c r="F27" s="28">
        <v>123749</v>
      </c>
      <c r="G27" s="28">
        <v>56050</v>
      </c>
      <c r="H27" s="28">
        <v>63582</v>
      </c>
      <c r="I27" s="28">
        <v>78702</v>
      </c>
      <c r="J27" s="28">
        <v>185937.7</v>
      </c>
      <c r="K27" s="28">
        <v>90587</v>
      </c>
      <c r="L27" s="28">
        <v>189383</v>
      </c>
      <c r="M27" s="28">
        <v>114907</v>
      </c>
      <c r="N27" s="18">
        <v>19411</v>
      </c>
      <c r="O27" s="17">
        <v>188789</v>
      </c>
      <c r="P27" s="28">
        <v>40615</v>
      </c>
    </row>
    <row r="28" spans="1:16" ht="13.5" customHeight="1">
      <c r="A28" s="218"/>
      <c r="B28" s="27" t="s">
        <v>145</v>
      </c>
      <c r="C28" s="17">
        <v>0</v>
      </c>
      <c r="D28" s="28">
        <v>57602</v>
      </c>
      <c r="E28" s="28">
        <v>31875</v>
      </c>
      <c r="F28" s="28">
        <v>1515</v>
      </c>
      <c r="G28" s="28">
        <v>0</v>
      </c>
      <c r="H28" s="28">
        <v>7849</v>
      </c>
      <c r="I28" s="28">
        <v>8775</v>
      </c>
      <c r="J28" s="28">
        <v>0</v>
      </c>
      <c r="K28" s="28">
        <v>68661</v>
      </c>
      <c r="L28" s="28">
        <v>0</v>
      </c>
      <c r="M28" s="28">
        <v>0</v>
      </c>
      <c r="N28" s="18">
        <v>0</v>
      </c>
      <c r="O28" s="17">
        <v>0</v>
      </c>
      <c r="P28" s="28">
        <v>137184</v>
      </c>
    </row>
    <row r="29" spans="1:16" ht="13.5" customHeight="1">
      <c r="A29" s="218"/>
      <c r="B29" s="27" t="s">
        <v>62</v>
      </c>
      <c r="C29" s="17">
        <v>791492</v>
      </c>
      <c r="D29" s="28">
        <v>156322</v>
      </c>
      <c r="E29" s="28">
        <v>644346</v>
      </c>
      <c r="F29" s="28">
        <v>336101</v>
      </c>
      <c r="G29" s="28">
        <v>416991</v>
      </c>
      <c r="H29" s="28">
        <v>528115</v>
      </c>
      <c r="I29" s="28">
        <v>152504</v>
      </c>
      <c r="J29" s="28">
        <v>86161.14</v>
      </c>
      <c r="K29" s="28">
        <v>326284</v>
      </c>
      <c r="L29" s="28">
        <v>131191</v>
      </c>
      <c r="M29" s="28">
        <v>738227</v>
      </c>
      <c r="N29" s="18">
        <v>212752</v>
      </c>
      <c r="O29" s="17">
        <v>273205</v>
      </c>
      <c r="P29" s="28">
        <v>223164</v>
      </c>
    </row>
    <row r="30" spans="1:16" ht="13.5" customHeight="1">
      <c r="A30" s="218"/>
      <c r="B30" s="27" t="s">
        <v>63</v>
      </c>
      <c r="C30" s="17">
        <v>1933</v>
      </c>
      <c r="D30" s="28">
        <v>2833</v>
      </c>
      <c r="E30" s="28">
        <v>1278</v>
      </c>
      <c r="F30" s="28">
        <v>-16</v>
      </c>
      <c r="G30" s="28">
        <v>0</v>
      </c>
      <c r="H30" s="18">
        <v>-135</v>
      </c>
      <c r="I30" s="28">
        <v>123</v>
      </c>
      <c r="J30" s="28">
        <v>3316.63</v>
      </c>
      <c r="K30" s="28">
        <v>309</v>
      </c>
      <c r="L30" s="28">
        <v>-39524</v>
      </c>
      <c r="M30" s="28">
        <v>639</v>
      </c>
      <c r="N30" s="18">
        <v>78335</v>
      </c>
      <c r="O30" s="17">
        <v>-17571</v>
      </c>
      <c r="P30" s="28">
        <v>826</v>
      </c>
    </row>
    <row r="31" spans="1:16" ht="13.5" customHeight="1">
      <c r="A31" s="218"/>
      <c r="B31" s="27" t="s">
        <v>64</v>
      </c>
      <c r="C31" s="15">
        <f>8362+294</f>
        <v>8656</v>
      </c>
      <c r="D31" s="29">
        <v>8837</v>
      </c>
      <c r="E31" s="29">
        <v>1308</v>
      </c>
      <c r="F31" s="29">
        <v>7640</v>
      </c>
      <c r="G31" s="29">
        <v>0</v>
      </c>
      <c r="H31" s="29">
        <v>121768</v>
      </c>
      <c r="I31" s="29">
        <v>0</v>
      </c>
      <c r="J31" s="28">
        <v>4200.6099999999997</v>
      </c>
      <c r="K31" s="29">
        <v>0</v>
      </c>
      <c r="L31" s="29">
        <v>9577</v>
      </c>
      <c r="M31" s="29">
        <v>24946</v>
      </c>
      <c r="N31" s="16">
        <v>15404</v>
      </c>
      <c r="O31" s="15">
        <v>831</v>
      </c>
      <c r="P31" s="29">
        <v>123280</v>
      </c>
    </row>
    <row r="32" spans="1:16" s="20" customFormat="1" ht="13.5" customHeight="1" thickBot="1">
      <c r="A32" s="214" t="s">
        <v>65</v>
      </c>
      <c r="B32" s="30"/>
      <c r="C32" s="31">
        <f>SUM(C16:C31)</f>
        <v>954664</v>
      </c>
      <c r="D32" s="31">
        <f t="shared" ref="D32:P32" si="3">SUM(D16:D31)</f>
        <v>797603</v>
      </c>
      <c r="E32" s="31">
        <f>SUM(E16:E31)</f>
        <v>1172766</v>
      </c>
      <c r="F32" s="31">
        <f t="shared" si="3"/>
        <v>932721</v>
      </c>
      <c r="G32" s="31">
        <f t="shared" ref="G32" si="4">SUM(G16:G31)</f>
        <v>783951</v>
      </c>
      <c r="H32" s="31">
        <f t="shared" si="3"/>
        <v>1054277</v>
      </c>
      <c r="I32" s="31">
        <f t="shared" si="3"/>
        <v>444536</v>
      </c>
      <c r="J32" s="31">
        <f t="shared" si="3"/>
        <v>743414.53</v>
      </c>
      <c r="K32" s="31">
        <f t="shared" si="3"/>
        <v>676866</v>
      </c>
      <c r="L32" s="31">
        <f t="shared" si="3"/>
        <v>733238</v>
      </c>
      <c r="M32" s="31">
        <f t="shared" si="3"/>
        <v>1585787</v>
      </c>
      <c r="N32" s="31">
        <f t="shared" si="3"/>
        <v>1090703</v>
      </c>
      <c r="O32" s="31">
        <f t="shared" si="3"/>
        <v>1098110</v>
      </c>
      <c r="P32" s="31">
        <f t="shared" si="3"/>
        <v>1180230</v>
      </c>
    </row>
    <row r="33" spans="1:16" ht="13.5" customHeight="1">
      <c r="A33" s="217" t="s">
        <v>66</v>
      </c>
      <c r="B33" s="23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6"/>
      <c r="O33" s="24"/>
      <c r="P33" s="25"/>
    </row>
    <row r="34" spans="1:16" ht="13.5" customHeight="1">
      <c r="A34" s="218"/>
      <c r="B34" s="27" t="s">
        <v>67</v>
      </c>
      <c r="C34" s="17">
        <v>278395</v>
      </c>
      <c r="D34" s="28">
        <v>298423</v>
      </c>
      <c r="E34" s="28">
        <v>337618</v>
      </c>
      <c r="F34" s="28">
        <v>302583</v>
      </c>
      <c r="G34" s="28">
        <v>182451</v>
      </c>
      <c r="H34" s="28">
        <v>406507</v>
      </c>
      <c r="I34" s="28">
        <v>118900</v>
      </c>
      <c r="J34" s="28">
        <v>212442.78</v>
      </c>
      <c r="K34" s="28">
        <v>328591</v>
      </c>
      <c r="L34" s="28">
        <v>281363</v>
      </c>
      <c r="M34" s="28">
        <v>366870</v>
      </c>
      <c r="N34" s="18">
        <v>332795</v>
      </c>
      <c r="O34" s="17">
        <v>454866</v>
      </c>
      <c r="P34" s="28">
        <v>392761</v>
      </c>
    </row>
    <row r="35" spans="1:16" ht="13.5" customHeight="1">
      <c r="A35" s="218"/>
      <c r="B35" s="27" t="s">
        <v>68</v>
      </c>
      <c r="C35" s="17">
        <v>456631</v>
      </c>
      <c r="D35" s="28">
        <v>185216</v>
      </c>
      <c r="E35" s="28">
        <v>432025</v>
      </c>
      <c r="F35" s="28">
        <v>289897</v>
      </c>
      <c r="G35" s="28">
        <v>458813</v>
      </c>
      <c r="H35" s="28">
        <v>388379</v>
      </c>
      <c r="I35" s="28">
        <v>228691</v>
      </c>
      <c r="J35" s="28">
        <v>276046.40999999997</v>
      </c>
      <c r="K35" s="28">
        <v>225419</v>
      </c>
      <c r="L35" s="28">
        <v>218830</v>
      </c>
      <c r="M35" s="28">
        <v>574948</v>
      </c>
      <c r="N35" s="18">
        <v>128300</v>
      </c>
      <c r="O35" s="17">
        <v>350824</v>
      </c>
      <c r="P35" s="28">
        <v>233926</v>
      </c>
    </row>
    <row r="36" spans="1:16" ht="13.5" customHeight="1">
      <c r="A36" s="218"/>
      <c r="B36" s="27" t="s">
        <v>69</v>
      </c>
      <c r="C36" s="17">
        <v>1500</v>
      </c>
      <c r="D36" s="28">
        <v>17228</v>
      </c>
      <c r="E36" s="28">
        <v>16686</v>
      </c>
      <c r="F36" s="28">
        <v>23607</v>
      </c>
      <c r="G36" s="28">
        <v>16151</v>
      </c>
      <c r="H36" s="28">
        <v>31784</v>
      </c>
      <c r="I36" s="28">
        <v>30256</v>
      </c>
      <c r="J36" s="28">
        <v>50198.57</v>
      </c>
      <c r="K36" s="28">
        <v>20680</v>
      </c>
      <c r="L36" s="28">
        <v>32496</v>
      </c>
      <c r="M36" s="28">
        <v>4314</v>
      </c>
      <c r="N36" s="18">
        <v>41186</v>
      </c>
      <c r="O36" s="17">
        <v>24586</v>
      </c>
      <c r="P36" s="28">
        <v>70519</v>
      </c>
    </row>
    <row r="37" spans="1:16" ht="13.5" customHeight="1">
      <c r="A37" s="218"/>
      <c r="B37" s="27" t="s">
        <v>70</v>
      </c>
      <c r="C37" s="17">
        <v>8843</v>
      </c>
      <c r="D37" s="28">
        <v>38230</v>
      </c>
      <c r="E37" s="28">
        <v>5257</v>
      </c>
      <c r="F37" s="28">
        <v>50760</v>
      </c>
      <c r="G37" s="28">
        <v>83126</v>
      </c>
      <c r="H37" s="28">
        <v>13869</v>
      </c>
      <c r="I37" s="28">
        <v>43970</v>
      </c>
      <c r="J37" s="28">
        <v>58484.98</v>
      </c>
      <c r="K37" s="28">
        <v>10116</v>
      </c>
      <c r="L37" s="28">
        <v>71552</v>
      </c>
      <c r="M37" s="28">
        <v>137763</v>
      </c>
      <c r="N37" s="18">
        <v>0</v>
      </c>
      <c r="O37" s="17">
        <v>88419</v>
      </c>
      <c r="P37" s="28">
        <v>149662</v>
      </c>
    </row>
    <row r="38" spans="1:16" ht="13.5" customHeight="1">
      <c r="A38" s="218"/>
      <c r="B38" s="27" t="s">
        <v>60</v>
      </c>
      <c r="C38" s="17">
        <v>17884</v>
      </c>
      <c r="D38" s="28">
        <v>9513</v>
      </c>
      <c r="E38" s="28">
        <v>32801</v>
      </c>
      <c r="F38" s="28">
        <v>2722</v>
      </c>
      <c r="G38" s="28">
        <v>9491</v>
      </c>
      <c r="H38" s="28">
        <v>32780</v>
      </c>
      <c r="I38" s="28">
        <v>17227</v>
      </c>
      <c r="J38" s="28">
        <v>11092.72</v>
      </c>
      <c r="K38" s="28">
        <v>70242</v>
      </c>
      <c r="L38" s="28">
        <v>42134</v>
      </c>
      <c r="M38" s="28">
        <v>15041</v>
      </c>
      <c r="N38" s="18">
        <v>2842</v>
      </c>
      <c r="O38" s="17">
        <v>13247</v>
      </c>
      <c r="P38" s="28">
        <v>15811</v>
      </c>
    </row>
    <row r="39" spans="1:16" ht="13.5" customHeight="1">
      <c r="A39" s="218"/>
      <c r="B39" s="27" t="s">
        <v>71</v>
      </c>
      <c r="C39" s="17">
        <v>155199</v>
      </c>
      <c r="D39" s="28">
        <v>28842</v>
      </c>
      <c r="E39" s="28">
        <v>0</v>
      </c>
      <c r="F39" s="28">
        <v>80548</v>
      </c>
      <c r="G39" s="28">
        <v>0</v>
      </c>
      <c r="H39" s="28">
        <v>1354</v>
      </c>
      <c r="I39" s="28">
        <v>0</v>
      </c>
      <c r="J39" s="28">
        <v>0</v>
      </c>
      <c r="K39" s="28">
        <v>0</v>
      </c>
      <c r="L39" s="28">
        <v>1051</v>
      </c>
      <c r="M39" s="28">
        <v>0</v>
      </c>
      <c r="N39" s="18">
        <v>0</v>
      </c>
      <c r="O39" s="17">
        <v>0</v>
      </c>
      <c r="P39" s="28">
        <v>93540</v>
      </c>
    </row>
    <row r="40" spans="1:16" ht="13.5" customHeight="1">
      <c r="A40" s="218"/>
      <c r="B40" s="27" t="s">
        <v>72</v>
      </c>
      <c r="C40" s="17">
        <v>6009</v>
      </c>
      <c r="D40" s="28">
        <v>21612</v>
      </c>
      <c r="E40" s="28">
        <v>8280</v>
      </c>
      <c r="F40" s="28">
        <v>11387</v>
      </c>
      <c r="G40" s="28">
        <v>18370</v>
      </c>
      <c r="H40" s="28">
        <v>14005</v>
      </c>
      <c r="I40" s="28">
        <v>3916</v>
      </c>
      <c r="J40" s="28">
        <v>34984.480000000003</v>
      </c>
      <c r="K40" s="28">
        <v>8281</v>
      </c>
      <c r="L40" s="28">
        <v>9347</v>
      </c>
      <c r="M40" s="28">
        <v>16108</v>
      </c>
      <c r="N40" s="18">
        <v>19521</v>
      </c>
      <c r="O40" s="17">
        <v>33285</v>
      </c>
      <c r="P40" s="28">
        <v>29851</v>
      </c>
    </row>
    <row r="41" spans="1:16" ht="13.5" customHeight="1">
      <c r="A41" s="218"/>
      <c r="B41" s="27" t="s">
        <v>53</v>
      </c>
      <c r="C41" s="17">
        <v>24325</v>
      </c>
      <c r="D41" s="28">
        <v>22425</v>
      </c>
      <c r="E41" s="28">
        <v>81967</v>
      </c>
      <c r="F41" s="28">
        <v>15446</v>
      </c>
      <c r="G41" s="28">
        <v>39098</v>
      </c>
      <c r="H41" s="28">
        <v>22845</v>
      </c>
      <c r="I41" s="28">
        <v>11293</v>
      </c>
      <c r="J41" s="28">
        <v>33607.81</v>
      </c>
      <c r="K41" s="28">
        <v>52535</v>
      </c>
      <c r="L41" s="28">
        <v>29401</v>
      </c>
      <c r="M41" s="28">
        <v>58205</v>
      </c>
      <c r="N41" s="18">
        <v>14185</v>
      </c>
      <c r="O41" s="17">
        <v>122510</v>
      </c>
      <c r="P41" s="28">
        <v>42882</v>
      </c>
    </row>
    <row r="42" spans="1:16" ht="13.5" customHeight="1">
      <c r="A42" s="218"/>
      <c r="B42" s="27" t="s">
        <v>54</v>
      </c>
      <c r="C42" s="17">
        <v>0</v>
      </c>
      <c r="D42" s="28">
        <v>6037</v>
      </c>
      <c r="E42" s="28">
        <v>350</v>
      </c>
      <c r="F42" s="28">
        <v>0</v>
      </c>
      <c r="G42" s="28">
        <v>2644</v>
      </c>
      <c r="H42" s="28">
        <v>0</v>
      </c>
      <c r="I42" s="28">
        <v>0</v>
      </c>
      <c r="J42" s="28">
        <v>21427.42</v>
      </c>
      <c r="K42" s="28">
        <v>866</v>
      </c>
      <c r="L42" s="28">
        <v>18865</v>
      </c>
      <c r="M42" s="28">
        <v>2429</v>
      </c>
      <c r="N42" s="18">
        <v>0</v>
      </c>
      <c r="O42" s="17">
        <v>0</v>
      </c>
      <c r="P42" s="28">
        <v>0</v>
      </c>
    </row>
    <row r="43" spans="1:16" ht="13.5" customHeight="1">
      <c r="A43" s="218"/>
      <c r="B43" s="27" t="s">
        <v>55</v>
      </c>
      <c r="C43" s="1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18">
        <v>0</v>
      </c>
      <c r="O43" s="17">
        <v>0</v>
      </c>
      <c r="P43" s="28">
        <v>0</v>
      </c>
    </row>
    <row r="44" spans="1:16" ht="13.5" customHeight="1">
      <c r="A44" s="218"/>
      <c r="B44" s="27" t="s">
        <v>56</v>
      </c>
      <c r="C44" s="1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4398.45</v>
      </c>
      <c r="K44" s="28">
        <v>0</v>
      </c>
      <c r="L44" s="28">
        <v>0</v>
      </c>
      <c r="M44" s="28">
        <v>0</v>
      </c>
      <c r="N44" s="18">
        <v>0</v>
      </c>
      <c r="O44" s="17">
        <v>0</v>
      </c>
      <c r="P44" s="28">
        <v>0</v>
      </c>
    </row>
    <row r="45" spans="1:16" ht="13.5" customHeight="1">
      <c r="A45" s="218"/>
      <c r="B45" s="27" t="s">
        <v>73</v>
      </c>
      <c r="C45" s="17">
        <v>61552</v>
      </c>
      <c r="D45" s="28">
        <v>102320</v>
      </c>
      <c r="E45" s="28">
        <v>74937</v>
      </c>
      <c r="F45" s="28">
        <v>137743</v>
      </c>
      <c r="G45" s="28">
        <v>129189</v>
      </c>
      <c r="H45" s="28">
        <v>106379</v>
      </c>
      <c r="I45" s="28">
        <v>116651</v>
      </c>
      <c r="J45" s="28">
        <v>94298.64</v>
      </c>
      <c r="K45" s="28">
        <v>65205</v>
      </c>
      <c r="L45" s="28">
        <v>125579</v>
      </c>
      <c r="M45" s="28">
        <v>131316</v>
      </c>
      <c r="N45" s="18">
        <v>35194</v>
      </c>
      <c r="O45" s="17">
        <v>66419</v>
      </c>
      <c r="P45" s="28">
        <v>163322</v>
      </c>
    </row>
    <row r="46" spans="1:16" ht="13.5" customHeight="1">
      <c r="A46" s="218"/>
      <c r="B46" s="27" t="s">
        <v>58</v>
      </c>
      <c r="C46" s="1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18">
        <v>0</v>
      </c>
      <c r="O46" s="17">
        <v>0</v>
      </c>
      <c r="P46" s="28">
        <v>0</v>
      </c>
    </row>
    <row r="47" spans="1:16" ht="13.5" customHeight="1">
      <c r="A47" s="218"/>
      <c r="B47" s="27" t="s">
        <v>74</v>
      </c>
      <c r="C47" s="17">
        <v>0</v>
      </c>
      <c r="D47" s="28">
        <v>0</v>
      </c>
      <c r="E47" s="28">
        <v>20200</v>
      </c>
      <c r="F47" s="28">
        <v>0</v>
      </c>
      <c r="G47" s="28">
        <v>9538</v>
      </c>
      <c r="H47" s="28">
        <v>0</v>
      </c>
      <c r="I47" s="28">
        <v>0</v>
      </c>
      <c r="J47" s="28">
        <v>13606.71</v>
      </c>
      <c r="K47" s="28">
        <v>2492</v>
      </c>
      <c r="L47" s="28">
        <v>0</v>
      </c>
      <c r="M47" s="28">
        <v>0</v>
      </c>
      <c r="N47" s="18">
        <v>620532</v>
      </c>
      <c r="O47" s="17">
        <v>0</v>
      </c>
      <c r="P47" s="28">
        <v>0</v>
      </c>
    </row>
    <row r="48" spans="1:16" ht="13.5" customHeight="1">
      <c r="A48" s="218"/>
      <c r="B48" s="27" t="s">
        <v>75</v>
      </c>
      <c r="C48" s="17">
        <v>3996</v>
      </c>
      <c r="D48" s="28">
        <v>0</v>
      </c>
      <c r="E48" s="28">
        <v>750</v>
      </c>
      <c r="F48" s="28">
        <v>3279</v>
      </c>
      <c r="G48" s="28">
        <v>0</v>
      </c>
      <c r="H48" s="28">
        <v>0</v>
      </c>
      <c r="I48" s="28">
        <v>0</v>
      </c>
      <c r="J48" s="28">
        <v>3146.84</v>
      </c>
      <c r="K48" s="28">
        <v>0</v>
      </c>
      <c r="L48" s="28">
        <v>6083</v>
      </c>
      <c r="M48" s="28">
        <v>0</v>
      </c>
      <c r="N48" s="18">
        <v>4152</v>
      </c>
      <c r="O48" s="17">
        <v>0</v>
      </c>
      <c r="P48" s="28">
        <v>10920</v>
      </c>
    </row>
    <row r="49" spans="1:16" ht="13.5" customHeight="1">
      <c r="A49" s="218"/>
      <c r="B49" s="27" t="s">
        <v>76</v>
      </c>
      <c r="C49" s="17">
        <v>-1112</v>
      </c>
      <c r="D49" s="28">
        <v>2744</v>
      </c>
      <c r="E49" s="28">
        <v>11715</v>
      </c>
      <c r="F49" s="28">
        <v>475</v>
      </c>
      <c r="G49" s="28">
        <v>8866</v>
      </c>
      <c r="H49" s="28">
        <v>2293</v>
      </c>
      <c r="I49" s="28">
        <v>-3002</v>
      </c>
      <c r="J49" s="28">
        <v>-4170.9799999999996</v>
      </c>
      <c r="K49" s="28">
        <v>36336.269999999997</v>
      </c>
      <c r="L49" s="28">
        <v>-89673</v>
      </c>
      <c r="M49" s="28">
        <v>-104</v>
      </c>
      <c r="N49" s="18">
        <v>-4557</v>
      </c>
      <c r="O49" s="17">
        <v>0</v>
      </c>
      <c r="P49" s="28">
        <v>10317</v>
      </c>
    </row>
    <row r="50" spans="1:16" ht="13.5" customHeight="1">
      <c r="A50" s="218"/>
      <c r="B50" s="27" t="s">
        <v>77</v>
      </c>
      <c r="C50" s="17">
        <v>25</v>
      </c>
      <c r="D50" s="28">
        <v>605</v>
      </c>
      <c r="E50" s="28">
        <v>-7</v>
      </c>
      <c r="F50" s="28">
        <v>151</v>
      </c>
      <c r="G50" s="28">
        <v>-1522</v>
      </c>
      <c r="H50" s="28">
        <v>0</v>
      </c>
      <c r="I50" s="28">
        <v>344</v>
      </c>
      <c r="J50" s="28">
        <v>574.41</v>
      </c>
      <c r="K50" s="28">
        <v>0</v>
      </c>
      <c r="L50" s="28">
        <v>105</v>
      </c>
      <c r="M50" s="28">
        <v>0</v>
      </c>
      <c r="N50" s="18">
        <v>3933</v>
      </c>
      <c r="O50" s="17">
        <v>-78</v>
      </c>
      <c r="P50" s="28">
        <v>-97</v>
      </c>
    </row>
    <row r="51" spans="1:16" ht="13.5" customHeight="1">
      <c r="A51" s="218"/>
      <c r="B51" s="27" t="s">
        <v>78</v>
      </c>
      <c r="C51" s="17">
        <v>252</v>
      </c>
      <c r="D51" s="28">
        <v>0</v>
      </c>
      <c r="E51" s="28">
        <v>0</v>
      </c>
      <c r="F51" s="28">
        <v>0</v>
      </c>
      <c r="G51" s="28">
        <v>3074</v>
      </c>
      <c r="H51" s="28">
        <v>582</v>
      </c>
      <c r="I51" s="28">
        <v>0</v>
      </c>
      <c r="J51" s="28">
        <v>0</v>
      </c>
      <c r="K51" s="28">
        <v>0</v>
      </c>
      <c r="L51" s="28">
        <v>38</v>
      </c>
      <c r="M51" s="28">
        <v>0</v>
      </c>
      <c r="N51" s="18">
        <v>22120</v>
      </c>
      <c r="O51" s="17">
        <v>0</v>
      </c>
      <c r="P51" s="28">
        <v>0</v>
      </c>
    </row>
    <row r="52" spans="1:16" s="20" customFormat="1" ht="13.5" customHeight="1" thickBot="1">
      <c r="A52" s="214" t="s">
        <v>79</v>
      </c>
      <c r="B52" s="84"/>
      <c r="C52" s="31">
        <f>SUM(C34:C51)</f>
        <v>1013499</v>
      </c>
      <c r="D52" s="31">
        <f t="shared" ref="D52:P52" si="5">SUM(D34:D51)</f>
        <v>733195</v>
      </c>
      <c r="E52" s="31">
        <f t="shared" si="5"/>
        <v>1022579</v>
      </c>
      <c r="F52" s="31">
        <f>SUM(F34:F51)</f>
        <v>918598</v>
      </c>
      <c r="G52" s="31">
        <f>SUM(G34:G51)</f>
        <v>959289</v>
      </c>
      <c r="H52" s="31">
        <f t="shared" si="5"/>
        <v>1020777</v>
      </c>
      <c r="I52" s="31">
        <f>SUM(I34:I51)</f>
        <v>568246</v>
      </c>
      <c r="J52" s="31">
        <f t="shared" si="5"/>
        <v>810139.23999999976</v>
      </c>
      <c r="K52" s="31">
        <f t="shared" si="5"/>
        <v>820763.27</v>
      </c>
      <c r="L52" s="31">
        <f t="shared" si="5"/>
        <v>747171</v>
      </c>
      <c r="M52" s="31">
        <f>SUM(M34:M51)</f>
        <v>1306890</v>
      </c>
      <c r="N52" s="31">
        <f>SUM(N34:N51)</f>
        <v>1220203</v>
      </c>
      <c r="O52" s="31">
        <f t="shared" si="5"/>
        <v>1154078</v>
      </c>
      <c r="P52" s="31">
        <f t="shared" si="5"/>
        <v>1213414</v>
      </c>
    </row>
    <row r="53" spans="1:16" ht="13.5" customHeight="1">
      <c r="A53" s="217" t="s">
        <v>80</v>
      </c>
      <c r="B53" s="85"/>
      <c r="C53" s="7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16"/>
      <c r="O53" s="15"/>
      <c r="P53" s="69"/>
    </row>
    <row r="54" spans="1:16" s="20" customFormat="1" ht="13.5" customHeight="1">
      <c r="A54" s="215"/>
      <c r="B54" s="21" t="s">
        <v>81</v>
      </c>
      <c r="C54" s="22">
        <v>101415</v>
      </c>
      <c r="D54" s="22">
        <v>76864</v>
      </c>
      <c r="E54" s="22">
        <v>92193</v>
      </c>
      <c r="F54" s="22">
        <v>56018.11</v>
      </c>
      <c r="G54" s="22">
        <v>99457</v>
      </c>
      <c r="H54" s="22">
        <v>55040</v>
      </c>
      <c r="I54" s="22">
        <v>52002</v>
      </c>
      <c r="J54" s="22">
        <v>89416.98</v>
      </c>
      <c r="K54" s="22">
        <v>0</v>
      </c>
      <c r="L54" s="22">
        <v>113844</v>
      </c>
      <c r="M54" s="22">
        <v>103220</v>
      </c>
      <c r="N54" s="22">
        <v>49745</v>
      </c>
      <c r="O54" s="22">
        <v>17517</v>
      </c>
      <c r="P54" s="22">
        <v>104465</v>
      </c>
    </row>
    <row r="55" spans="1:16" s="20" customFormat="1" ht="13.5" customHeight="1">
      <c r="A55" s="219"/>
      <c r="B55" s="33" t="s">
        <v>199</v>
      </c>
      <c r="C55" s="39">
        <v>127407</v>
      </c>
      <c r="D55" s="39">
        <v>4125</v>
      </c>
      <c r="E55" s="39">
        <v>-5939</v>
      </c>
      <c r="F55" s="39">
        <v>254428.55</v>
      </c>
      <c r="G55" s="39">
        <v>0</v>
      </c>
      <c r="H55" s="39">
        <v>-21011</v>
      </c>
      <c r="I55" s="39">
        <v>-127177</v>
      </c>
      <c r="J55" s="39">
        <v>-34748.339999999997</v>
      </c>
      <c r="K55" s="39">
        <v>-315146.23</v>
      </c>
      <c r="L55" s="39">
        <v>163194</v>
      </c>
      <c r="M55" s="39">
        <v>157240</v>
      </c>
      <c r="N55" s="39">
        <v>161998</v>
      </c>
      <c r="O55" s="39">
        <v>0</v>
      </c>
      <c r="P55" s="39">
        <v>0</v>
      </c>
    </row>
    <row r="56" spans="1:16" s="20" customFormat="1" ht="13.5" customHeight="1">
      <c r="A56" s="192" t="s">
        <v>200</v>
      </c>
      <c r="B56" s="33"/>
      <c r="C56" s="22">
        <f t="shared" ref="C56:F56" si="6">+C32-C52</f>
        <v>-58835</v>
      </c>
      <c r="D56" s="22">
        <f t="shared" si="6"/>
        <v>64408</v>
      </c>
      <c r="E56" s="22">
        <f t="shared" si="6"/>
        <v>150187</v>
      </c>
      <c r="F56" s="22">
        <f t="shared" si="6"/>
        <v>14123</v>
      </c>
      <c r="G56" s="22">
        <f t="shared" ref="G56" si="7">+G32-G52</f>
        <v>-175338</v>
      </c>
      <c r="H56" s="22">
        <f t="shared" ref="H56:P56" si="8">+H32-H52</f>
        <v>33500</v>
      </c>
      <c r="I56" s="22">
        <f t="shared" si="8"/>
        <v>-123710</v>
      </c>
      <c r="J56" s="22">
        <f t="shared" si="8"/>
        <v>-66724.70999999973</v>
      </c>
      <c r="K56" s="22">
        <f t="shared" si="8"/>
        <v>-143897.27000000002</v>
      </c>
      <c r="L56" s="22">
        <f t="shared" si="8"/>
        <v>-13933</v>
      </c>
      <c r="M56" s="22">
        <f t="shared" si="8"/>
        <v>278897</v>
      </c>
      <c r="N56" s="22">
        <f t="shared" si="8"/>
        <v>-129500</v>
      </c>
      <c r="O56" s="22">
        <f t="shared" si="8"/>
        <v>-55968</v>
      </c>
      <c r="P56" s="22">
        <f t="shared" si="8"/>
        <v>-33184</v>
      </c>
    </row>
    <row r="57" spans="1:16" s="20" customFormat="1" ht="13.5" customHeight="1">
      <c r="A57" s="192" t="s">
        <v>201</v>
      </c>
      <c r="B57" s="33"/>
      <c r="C57" s="22">
        <f>+C32-C52-C54-C55</f>
        <v>-287657</v>
      </c>
      <c r="D57" s="22">
        <f t="shared" ref="D57:F57" si="9">+D32-D52-D54-D55</f>
        <v>-16581</v>
      </c>
      <c r="E57" s="22">
        <f t="shared" si="9"/>
        <v>63933</v>
      </c>
      <c r="F57" s="22">
        <f t="shared" si="9"/>
        <v>-296323.65999999997</v>
      </c>
      <c r="G57" s="22">
        <f t="shared" ref="G57" si="10">+G32-G52-G54-G55</f>
        <v>-274795</v>
      </c>
      <c r="H57" s="22">
        <f t="shared" ref="H57:P57" si="11">+H32-H52-H54-H55</f>
        <v>-529</v>
      </c>
      <c r="I57" s="22">
        <f t="shared" si="11"/>
        <v>-48535</v>
      </c>
      <c r="J57" s="22">
        <f t="shared" si="11"/>
        <v>-121393.34999999971</v>
      </c>
      <c r="K57" s="22">
        <f t="shared" si="11"/>
        <v>171248.95999999996</v>
      </c>
      <c r="L57" s="22">
        <f t="shared" si="11"/>
        <v>-290971</v>
      </c>
      <c r="M57" s="22">
        <f t="shared" si="11"/>
        <v>18437</v>
      </c>
      <c r="N57" s="22">
        <f t="shared" si="11"/>
        <v>-341243</v>
      </c>
      <c r="O57" s="22">
        <f t="shared" si="11"/>
        <v>-73485</v>
      </c>
      <c r="P57" s="22">
        <f t="shared" si="11"/>
        <v>-137649</v>
      </c>
    </row>
    <row r="58" spans="1:16" s="20" customFormat="1" ht="13.5" customHeight="1">
      <c r="A58" s="192" t="s">
        <v>202</v>
      </c>
      <c r="B58" s="33"/>
      <c r="C58" s="22">
        <f t="shared" ref="C58:F58" si="12">+C12+C13+C14+C32+-C52</f>
        <v>106177</v>
      </c>
      <c r="D58" s="22">
        <f t="shared" si="12"/>
        <v>144386</v>
      </c>
      <c r="E58" s="22">
        <f t="shared" si="12"/>
        <v>233244</v>
      </c>
      <c r="F58" s="22">
        <f t="shared" si="12"/>
        <v>64233</v>
      </c>
      <c r="G58" s="22">
        <f t="shared" ref="G58" si="13">+G12+G13+G14+G32+-G52</f>
        <v>-154878</v>
      </c>
      <c r="H58" s="22">
        <f t="shared" ref="H58:P58" si="14">+H12+H13+H14+H32+-H52</f>
        <v>110292</v>
      </c>
      <c r="I58" s="22">
        <f t="shared" si="14"/>
        <v>-20074</v>
      </c>
      <c r="J58" s="22">
        <f t="shared" si="14"/>
        <v>516008.29000000027</v>
      </c>
      <c r="K58" s="22">
        <f t="shared" si="14"/>
        <v>27378.510000000009</v>
      </c>
      <c r="L58" s="22">
        <f t="shared" si="14"/>
        <v>45797</v>
      </c>
      <c r="M58" s="22">
        <f t="shared" si="14"/>
        <v>328686</v>
      </c>
      <c r="N58" s="22">
        <f t="shared" si="14"/>
        <v>-58890</v>
      </c>
      <c r="O58" s="22">
        <f t="shared" si="14"/>
        <v>-13959</v>
      </c>
      <c r="P58" s="22">
        <f t="shared" si="14"/>
        <v>74545</v>
      </c>
    </row>
    <row r="59" spans="1:16" s="20" customFormat="1" ht="13.5" customHeight="1">
      <c r="A59" s="192" t="s">
        <v>203</v>
      </c>
      <c r="B59" s="33"/>
      <c r="C59" s="22">
        <f>+C12+C13+C14+C32-C52-C54-C55</f>
        <v>-122645</v>
      </c>
      <c r="D59" s="22">
        <f t="shared" ref="D59:F59" si="15">+D12+D13+D14+D32-D52-D54-D55</f>
        <v>63397</v>
      </c>
      <c r="E59" s="22">
        <f t="shared" si="15"/>
        <v>146990</v>
      </c>
      <c r="F59" s="22">
        <f t="shared" si="15"/>
        <v>-246213.65999999997</v>
      </c>
      <c r="G59" s="22">
        <f t="shared" ref="G59" si="16">+G12+G13+G14+G32-G52-G54-G55</f>
        <v>-254335</v>
      </c>
      <c r="H59" s="22">
        <f t="shared" ref="H59:P59" si="17">+H12+H13+H14+H32-H52-H54-H55</f>
        <v>76263</v>
      </c>
      <c r="I59" s="22">
        <f t="shared" si="17"/>
        <v>55101</v>
      </c>
      <c r="J59" s="22">
        <f t="shared" si="17"/>
        <v>461339.65000000026</v>
      </c>
      <c r="K59" s="22">
        <f t="shared" si="17"/>
        <v>342524.74</v>
      </c>
      <c r="L59" s="22">
        <f t="shared" si="17"/>
        <v>-231241</v>
      </c>
      <c r="M59" s="22">
        <f t="shared" si="17"/>
        <v>68226</v>
      </c>
      <c r="N59" s="22">
        <f t="shared" si="17"/>
        <v>-270633</v>
      </c>
      <c r="O59" s="22">
        <f t="shared" si="17"/>
        <v>-31476</v>
      </c>
      <c r="P59" s="22">
        <f t="shared" si="17"/>
        <v>-29920</v>
      </c>
    </row>
    <row r="60" spans="1:16" ht="13.5" customHeight="1">
      <c r="A60" s="213" t="s">
        <v>219</v>
      </c>
      <c r="B60" s="11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</row>
    <row r="61" spans="1:16" s="44" customFormat="1" ht="13.5" customHeight="1">
      <c r="A61" s="220"/>
      <c r="B61" s="163" t="s">
        <v>39</v>
      </c>
      <c r="C61" s="16">
        <v>-409650</v>
      </c>
      <c r="D61" s="16">
        <v>564044</v>
      </c>
      <c r="E61" s="16">
        <v>461031</v>
      </c>
      <c r="F61" s="16">
        <v>269442</v>
      </c>
      <c r="G61" s="16">
        <v>23032</v>
      </c>
      <c r="H61" s="16">
        <v>168267</v>
      </c>
      <c r="I61" s="16">
        <v>93209</v>
      </c>
      <c r="J61" s="16">
        <v>30104</v>
      </c>
      <c r="K61" s="16">
        <v>71975.81</v>
      </c>
      <c r="L61" s="16">
        <v>124473</v>
      </c>
      <c r="M61" s="16">
        <v>1972035</v>
      </c>
      <c r="N61" s="16">
        <v>1411635</v>
      </c>
      <c r="O61" s="16">
        <v>30352</v>
      </c>
      <c r="P61" s="16">
        <v>410229</v>
      </c>
    </row>
    <row r="62" spans="1:16" s="44" customFormat="1" ht="13.5" customHeight="1">
      <c r="A62" s="220"/>
      <c r="B62" s="163" t="s">
        <v>212</v>
      </c>
      <c r="C62" s="16">
        <v>-474604</v>
      </c>
      <c r="D62" s="16">
        <v>-412734</v>
      </c>
      <c r="E62" s="16">
        <v>-480873</v>
      </c>
      <c r="F62" s="16">
        <v>-493844</v>
      </c>
      <c r="G62" s="16">
        <v>-112000</v>
      </c>
      <c r="H62" s="16">
        <v>-428616</v>
      </c>
      <c r="I62" s="16">
        <v>-226727</v>
      </c>
      <c r="J62" s="16">
        <v>-190600</v>
      </c>
      <c r="K62" s="16">
        <v>-145517.13999999998</v>
      </c>
      <c r="L62" s="16">
        <v>-302992</v>
      </c>
      <c r="M62" s="16">
        <v>-609931</v>
      </c>
      <c r="N62" s="16">
        <v>0</v>
      </c>
      <c r="O62" s="16">
        <v>0</v>
      </c>
      <c r="P62" s="16">
        <v>0</v>
      </c>
    </row>
    <row r="63" spans="1:16" s="44" customFormat="1" ht="13.5" customHeight="1">
      <c r="A63" s="220"/>
      <c r="B63" s="163" t="s">
        <v>40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</row>
    <row r="64" spans="1:16" s="164" customFormat="1" ht="13.5" customHeight="1">
      <c r="A64" s="220"/>
      <c r="B64" s="163" t="s">
        <v>41</v>
      </c>
      <c r="C64" s="16">
        <v>1683460</v>
      </c>
      <c r="D64" s="16">
        <v>649498</v>
      </c>
      <c r="E64" s="16">
        <v>1465462</v>
      </c>
      <c r="F64" s="16">
        <v>769497.66000000015</v>
      </c>
      <c r="G64" s="16">
        <v>1663079</v>
      </c>
      <c r="H64" s="16">
        <v>750656</v>
      </c>
      <c r="I64" s="16">
        <v>787731</v>
      </c>
      <c r="J64" s="16">
        <v>1614523</v>
      </c>
      <c r="K64" s="16">
        <v>1252308.8200000008</v>
      </c>
      <c r="L64" s="16">
        <v>893157</v>
      </c>
      <c r="M64" s="16">
        <v>1953801</v>
      </c>
      <c r="N64" s="16">
        <v>493931</v>
      </c>
      <c r="O64" s="16">
        <v>643637</v>
      </c>
      <c r="P64" s="16">
        <v>1544205</v>
      </c>
    </row>
    <row r="65" spans="1:16" s="20" customFormat="1" ht="13.5" customHeight="1">
      <c r="A65" s="192"/>
      <c r="B65" s="38" t="s">
        <v>43</v>
      </c>
      <c r="C65" s="52">
        <f>SUM(C61:C64)</f>
        <v>799206</v>
      </c>
      <c r="D65" s="52">
        <f>SUM(D61:D64)</f>
        <v>800808</v>
      </c>
      <c r="E65" s="52">
        <f>SUM(E61:E64)</f>
        <v>1445620</v>
      </c>
      <c r="F65" s="52">
        <f t="shared" ref="F65:P65" si="18">SUM(F61:F64)</f>
        <v>545095.66000000015</v>
      </c>
      <c r="G65" s="52">
        <f t="shared" ref="G65" si="19">SUM(G61:G64)</f>
        <v>1574111</v>
      </c>
      <c r="H65" s="52">
        <f>SUM(H61:H64)</f>
        <v>490307</v>
      </c>
      <c r="I65" s="52">
        <f t="shared" si="18"/>
        <v>654213</v>
      </c>
      <c r="J65" s="52">
        <f t="shared" si="18"/>
        <v>1454027</v>
      </c>
      <c r="K65" s="52">
        <f t="shared" si="18"/>
        <v>1178767.4900000007</v>
      </c>
      <c r="L65" s="52">
        <f t="shared" si="18"/>
        <v>714638</v>
      </c>
      <c r="M65" s="52">
        <f t="shared" si="18"/>
        <v>3315905</v>
      </c>
      <c r="N65" s="52">
        <f t="shared" si="18"/>
        <v>1905566</v>
      </c>
      <c r="O65" s="52">
        <f t="shared" si="18"/>
        <v>673989</v>
      </c>
      <c r="P65" s="52">
        <f t="shared" si="18"/>
        <v>1954434</v>
      </c>
    </row>
    <row r="66" spans="1:16" s="158" customFormat="1" ht="13.5" customHeight="1">
      <c r="A66" s="221" t="s">
        <v>82</v>
      </c>
      <c r="B66" s="227"/>
      <c r="C66" s="230">
        <f t="shared" ref="C66:P66" si="20">C61/(C52)</f>
        <v>-0.40419378805504497</v>
      </c>
      <c r="D66" s="231">
        <f t="shared" si="20"/>
        <v>0.76929602629586946</v>
      </c>
      <c r="E66" s="231">
        <f t="shared" si="20"/>
        <v>0.4508512300761115</v>
      </c>
      <c r="F66" s="231">
        <f t="shared" si="20"/>
        <v>0.29331873137106768</v>
      </c>
      <c r="G66" s="231">
        <f t="shared" si="20"/>
        <v>2.4009448664583873E-2</v>
      </c>
      <c r="H66" s="231">
        <f t="shared" si="20"/>
        <v>0.16484207618314284</v>
      </c>
      <c r="I66" s="231">
        <f t="shared" si="20"/>
        <v>0.1640293112490013</v>
      </c>
      <c r="J66" s="231">
        <f t="shared" si="20"/>
        <v>3.7159044413155456E-2</v>
      </c>
      <c r="K66" s="231">
        <f t="shared" si="20"/>
        <v>8.7693751207945744E-2</v>
      </c>
      <c r="L66" s="231">
        <f t="shared" si="20"/>
        <v>0.16659238648180938</v>
      </c>
      <c r="M66" s="231">
        <f t="shared" si="20"/>
        <v>1.5089525514771709</v>
      </c>
      <c r="N66" s="231">
        <f t="shared" si="20"/>
        <v>1.1568853707129059</v>
      </c>
      <c r="O66" s="232">
        <f t="shared" si="20"/>
        <v>2.629978216377056E-2</v>
      </c>
      <c r="P66" s="231">
        <f t="shared" si="20"/>
        <v>0.33807834753843291</v>
      </c>
    </row>
    <row r="67" spans="1:16" s="37" customFormat="1" hidden="1">
      <c r="A67" s="143"/>
      <c r="B67" s="53" t="s">
        <v>83</v>
      </c>
      <c r="C67" s="87">
        <f>+C10+C12+C13+C14+C32-C52-C54-C65-C55</f>
        <v>0</v>
      </c>
      <c r="D67" s="87">
        <f t="shared" ref="D67:P67" si="21">+D10+D12+D13+D14+D32-D52-D54-D65-D55</f>
        <v>0</v>
      </c>
      <c r="E67" s="87">
        <f t="shared" si="21"/>
        <v>1</v>
      </c>
      <c r="F67" s="87">
        <f t="shared" si="21"/>
        <v>-1.3200000001234002</v>
      </c>
      <c r="G67" s="87">
        <f t="shared" si="21"/>
        <v>0</v>
      </c>
      <c r="H67" s="87">
        <f t="shared" si="21"/>
        <v>0</v>
      </c>
      <c r="I67" s="87">
        <f t="shared" si="21"/>
        <v>-2</v>
      </c>
      <c r="J67" s="87">
        <f t="shared" si="21"/>
        <v>0.65000000051804818</v>
      </c>
      <c r="K67" s="87">
        <f t="shared" si="21"/>
        <v>-6.9849193096160889E-10</v>
      </c>
      <c r="L67" s="87">
        <f t="shared" si="21"/>
        <v>0</v>
      </c>
      <c r="M67" s="87">
        <f t="shared" si="21"/>
        <v>-2</v>
      </c>
      <c r="N67" s="87">
        <f t="shared" si="21"/>
        <v>-1</v>
      </c>
      <c r="O67" s="87">
        <f t="shared" si="21"/>
        <v>1</v>
      </c>
      <c r="P67" s="87">
        <f t="shared" si="21"/>
        <v>0</v>
      </c>
    </row>
    <row r="68" spans="1:16" s="37" customFormat="1" hidden="1">
      <c r="A68" s="144"/>
      <c r="B68" s="47"/>
      <c r="C68" s="62">
        <f t="shared" ref="C68:P68" si="22">+C10+C59-C65</f>
        <v>0</v>
      </c>
      <c r="D68" s="62">
        <f t="shared" si="22"/>
        <v>0</v>
      </c>
      <c r="E68" s="62">
        <f t="shared" si="22"/>
        <v>1</v>
      </c>
      <c r="F68" s="62">
        <f t="shared" si="22"/>
        <v>-1.3200000000651926</v>
      </c>
      <c r="G68" s="62">
        <f t="shared" si="22"/>
        <v>0</v>
      </c>
      <c r="H68" s="62">
        <f t="shared" si="22"/>
        <v>0</v>
      </c>
      <c r="I68" s="62">
        <f t="shared" si="22"/>
        <v>-2</v>
      </c>
      <c r="J68" s="62">
        <f t="shared" si="22"/>
        <v>0.65000000037252903</v>
      </c>
      <c r="K68" s="62">
        <f t="shared" si="22"/>
        <v>0</v>
      </c>
      <c r="L68" s="62">
        <f t="shared" si="22"/>
        <v>0</v>
      </c>
      <c r="M68" s="62">
        <f t="shared" si="22"/>
        <v>-2</v>
      </c>
      <c r="N68" s="62">
        <f t="shared" si="22"/>
        <v>-1</v>
      </c>
      <c r="O68" s="62">
        <f t="shared" si="22"/>
        <v>1</v>
      </c>
      <c r="P68" s="145">
        <f t="shared" si="22"/>
        <v>0</v>
      </c>
    </row>
    <row r="69" spans="1:16" s="102" customFormat="1" ht="13.5" customHeight="1">
      <c r="A69" s="47"/>
      <c r="B69" s="47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</row>
    <row r="70" spans="1:16" s="37" customFormat="1" ht="13.5" customHeight="1">
      <c r="A70" s="140" t="s">
        <v>193</v>
      </c>
      <c r="B70" s="48"/>
      <c r="C70" s="48"/>
      <c r="D70" s="48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</row>
    <row r="71" spans="1:16" s="37" customFormat="1" ht="13.5" customHeight="1">
      <c r="A71" s="137" t="s">
        <v>194</v>
      </c>
      <c r="B71" s="48"/>
      <c r="C71" s="48"/>
      <c r="D71" s="48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</row>
    <row r="72" spans="1:16" s="37" customFormat="1" ht="13.5" customHeight="1">
      <c r="A72" s="138" t="s">
        <v>84</v>
      </c>
      <c r="B72" s="48"/>
      <c r="C72" s="48"/>
      <c r="D72" s="48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</row>
    <row r="73" spans="1:16" s="37" customFormat="1" ht="13.5" customHeight="1">
      <c r="A73" s="139"/>
      <c r="B73" s="48"/>
      <c r="C73" s="48"/>
      <c r="D73" s="48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</row>
    <row r="74" spans="1:16" s="37" customFormat="1" ht="13.5" customHeight="1">
      <c r="A74" s="137" t="s">
        <v>195</v>
      </c>
      <c r="B74" s="48"/>
      <c r="C74" s="48"/>
      <c r="D74" s="48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</row>
    <row r="75" spans="1:16" s="37" customFormat="1" ht="13.5" customHeight="1">
      <c r="A75" s="137" t="s">
        <v>85</v>
      </c>
      <c r="B75" s="48"/>
      <c r="C75" s="48"/>
      <c r="D75" s="48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</row>
    <row r="76" spans="1:16" ht="12.75" customHeight="1">
      <c r="A76" s="137" t="s">
        <v>86</v>
      </c>
      <c r="B76" s="146"/>
      <c r="C76" s="147"/>
      <c r="D76" s="1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</row>
    <row r="77" spans="1:16" ht="12.75" customHeight="1">
      <c r="A77" s="48"/>
      <c r="B77" s="89"/>
      <c r="C77" s="148"/>
      <c r="D77" s="148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</row>
    <row r="78" spans="1:16">
      <c r="A78" s="234"/>
      <c r="B78" s="235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29"/>
      <c r="O78" s="211"/>
      <c r="P78" s="211"/>
    </row>
    <row r="79" spans="1:16" ht="71.25" customHeight="1">
      <c r="A79" s="236"/>
      <c r="B79" s="113"/>
      <c r="C79" s="207" t="str">
        <f t="shared" ref="C79:P79" si="23">C2</f>
        <v>9th DAA, Redwood Acres Fair</v>
      </c>
      <c r="D79" s="207" t="str">
        <f t="shared" si="23"/>
        <v>10th DAA, Siskiyou Golden Fair</v>
      </c>
      <c r="E79" s="207" t="str">
        <f t="shared" si="23"/>
        <v>12th DAA, Redwood Empire Fair</v>
      </c>
      <c r="F79" s="207" t="str">
        <f t="shared" si="23"/>
        <v>13th DAA,   Yuba Sutter Fair</v>
      </c>
      <c r="G79" s="246" t="str">
        <f t="shared" si="23"/>
        <v xml:space="preserve">18th DAA, Eastern Sierra Tri-County Fair    </v>
      </c>
      <c r="H79" s="207" t="str">
        <f t="shared" si="23"/>
        <v>20th DAA,    Gold Country Fair</v>
      </c>
      <c r="I79" s="207" t="str">
        <f t="shared" si="23"/>
        <v>24-A DAA,    Kings Fair</v>
      </c>
      <c r="J79" s="207" t="str">
        <f t="shared" si="23"/>
        <v>26th DAA, Amador County Fair</v>
      </c>
      <c r="K79" s="207" t="str">
        <f t="shared" si="23"/>
        <v>30th DAA, Tehama District Fair</v>
      </c>
      <c r="L79" s="207" t="str">
        <f t="shared" si="23"/>
        <v>39th DAA, Calaveras County Fair</v>
      </c>
      <c r="M79" s="207" t="str">
        <f t="shared" si="23"/>
        <v>40th DAA,    Yolo County Fair</v>
      </c>
      <c r="N79" s="207" t="str">
        <f t="shared" si="23"/>
        <v>Cloverdale Citrus Fair</v>
      </c>
      <c r="O79" s="207" t="str">
        <f t="shared" si="23"/>
        <v>Merced County Spring Fair</v>
      </c>
      <c r="P79" s="207" t="str">
        <f t="shared" si="23"/>
        <v>Lodi Grape Festival &amp; Harvest Fair</v>
      </c>
    </row>
    <row r="80" spans="1:16" ht="13.5" customHeight="1">
      <c r="A80" s="213" t="s">
        <v>87</v>
      </c>
      <c r="B80" s="27"/>
      <c r="C80" s="4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1"/>
      <c r="O80" s="49"/>
      <c r="P80" s="50"/>
    </row>
    <row r="81" spans="1:16" ht="13.5" customHeight="1">
      <c r="A81" s="213" t="s">
        <v>88</v>
      </c>
      <c r="B81" s="27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1"/>
      <c r="O81" s="49"/>
      <c r="P81" s="50"/>
    </row>
    <row r="82" spans="1:16" ht="13.5" customHeight="1">
      <c r="A82" s="218"/>
      <c r="B82" s="27" t="s">
        <v>89</v>
      </c>
      <c r="C82" s="1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18"/>
      <c r="O82" s="17"/>
      <c r="P82" s="28"/>
    </row>
    <row r="83" spans="1:16" ht="13.5" customHeight="1">
      <c r="A83" s="218"/>
      <c r="B83" s="27" t="s">
        <v>90</v>
      </c>
      <c r="C83" s="12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12211</v>
      </c>
      <c r="K83" s="13">
        <v>0</v>
      </c>
      <c r="L83" s="13">
        <v>111977</v>
      </c>
      <c r="M83" s="13">
        <v>0</v>
      </c>
      <c r="N83" s="14">
        <v>0</v>
      </c>
      <c r="O83" s="12">
        <v>0</v>
      </c>
      <c r="P83" s="13">
        <v>44494</v>
      </c>
    </row>
    <row r="84" spans="1:16" ht="13.5" customHeight="1">
      <c r="A84" s="218"/>
      <c r="B84" s="27" t="s">
        <v>91</v>
      </c>
      <c r="C84" s="17">
        <v>-32804.839999999997</v>
      </c>
      <c r="D84" s="28">
        <v>704748</v>
      </c>
      <c r="E84" s="28">
        <v>888290</v>
      </c>
      <c r="F84" s="28">
        <v>521246</v>
      </c>
      <c r="G84" s="28">
        <v>57142</v>
      </c>
      <c r="H84" s="28">
        <v>240662</v>
      </c>
      <c r="I84" s="28">
        <v>307816</v>
      </c>
      <c r="J84" s="28">
        <v>68323</v>
      </c>
      <c r="K84" s="28">
        <v>71703.69</v>
      </c>
      <c r="L84" s="28">
        <v>232470</v>
      </c>
      <c r="M84" s="28">
        <v>2053677</v>
      </c>
      <c r="N84" s="18">
        <v>1934090</v>
      </c>
      <c r="O84" s="17">
        <v>23433</v>
      </c>
      <c r="P84" s="28">
        <v>394358</v>
      </c>
    </row>
    <row r="85" spans="1:16" ht="13.5" customHeight="1">
      <c r="A85" s="218"/>
      <c r="B85" s="27" t="s">
        <v>92</v>
      </c>
      <c r="C85" s="17">
        <v>10763.6</v>
      </c>
      <c r="D85" s="28">
        <v>8754</v>
      </c>
      <c r="E85" s="28">
        <v>51</v>
      </c>
      <c r="F85" s="28">
        <v>4438</v>
      </c>
      <c r="G85" s="28">
        <v>10459</v>
      </c>
      <c r="H85" s="28">
        <v>14181</v>
      </c>
      <c r="I85" s="28">
        <v>25098</v>
      </c>
      <c r="J85" s="28">
        <f>6472+12023</f>
        <v>18495</v>
      </c>
      <c r="K85" s="28">
        <v>4231.5</v>
      </c>
      <c r="L85" s="28">
        <f>25626+19758</f>
        <v>45384</v>
      </c>
      <c r="M85" s="28">
        <v>61201</v>
      </c>
      <c r="N85" s="18">
        <v>3755</v>
      </c>
      <c r="O85" s="17">
        <v>74687</v>
      </c>
      <c r="P85" s="28">
        <v>10058</v>
      </c>
    </row>
    <row r="86" spans="1:16" ht="13.5" customHeight="1">
      <c r="A86" s="218"/>
      <c r="B86" s="27" t="s">
        <v>93</v>
      </c>
      <c r="C86" s="17">
        <v>1545</v>
      </c>
      <c r="D86" s="28">
        <v>9970</v>
      </c>
      <c r="E86" s="28">
        <v>0</v>
      </c>
      <c r="F86" s="28">
        <v>0</v>
      </c>
      <c r="G86" s="28">
        <v>0</v>
      </c>
      <c r="H86" s="28">
        <v>0</v>
      </c>
      <c r="I86" s="28">
        <v>11664</v>
      </c>
      <c r="J86" s="28">
        <v>7998</v>
      </c>
      <c r="K86" s="28"/>
      <c r="L86" s="28">
        <v>8748</v>
      </c>
      <c r="M86" s="28">
        <v>0</v>
      </c>
      <c r="N86" s="18">
        <v>213735</v>
      </c>
      <c r="O86" s="17">
        <v>0</v>
      </c>
      <c r="P86" s="28">
        <v>18474</v>
      </c>
    </row>
    <row r="87" spans="1:16" ht="13.5" customHeight="1">
      <c r="A87" s="218"/>
      <c r="B87" s="27" t="s">
        <v>94</v>
      </c>
      <c r="C87" s="17">
        <v>347.54</v>
      </c>
      <c r="D87" s="28">
        <v>0</v>
      </c>
      <c r="E87" s="28">
        <v>0</v>
      </c>
      <c r="F87" s="28">
        <v>0</v>
      </c>
      <c r="G87" s="28">
        <v>0</v>
      </c>
      <c r="H87" s="28">
        <v>6074</v>
      </c>
      <c r="I87" s="28">
        <v>0</v>
      </c>
      <c r="J87" s="28">
        <v>0</v>
      </c>
      <c r="K87" s="28"/>
      <c r="L87" s="28">
        <v>0</v>
      </c>
      <c r="M87" s="28">
        <v>0</v>
      </c>
      <c r="N87" s="18">
        <v>0</v>
      </c>
      <c r="O87" s="17">
        <v>0</v>
      </c>
      <c r="P87" s="28">
        <v>0</v>
      </c>
    </row>
    <row r="88" spans="1:16" ht="13.5" customHeight="1">
      <c r="A88" s="218"/>
      <c r="B88" s="27" t="s">
        <v>146</v>
      </c>
      <c r="C88" s="17">
        <v>111785.32</v>
      </c>
      <c r="D88" s="28">
        <v>4240</v>
      </c>
      <c r="E88" s="28">
        <v>321433</v>
      </c>
      <c r="F88" s="28">
        <v>5440</v>
      </c>
      <c r="G88" s="28">
        <v>0</v>
      </c>
      <c r="H88" s="28">
        <v>4524</v>
      </c>
      <c r="I88" s="28">
        <v>0</v>
      </c>
      <c r="J88" s="28">
        <v>342058</v>
      </c>
      <c r="K88" s="28"/>
      <c r="L88" s="28">
        <v>85781</v>
      </c>
      <c r="M88" s="28">
        <v>5249</v>
      </c>
      <c r="N88" s="18">
        <v>0</v>
      </c>
      <c r="O88" s="17">
        <v>10269</v>
      </c>
      <c r="P88" s="28">
        <v>0</v>
      </c>
    </row>
    <row r="89" spans="1:16" ht="13.5" customHeight="1">
      <c r="A89" s="218"/>
      <c r="B89" s="27" t="s">
        <v>96</v>
      </c>
      <c r="C89" s="17">
        <v>64412.19</v>
      </c>
      <c r="D89" s="28">
        <v>0</v>
      </c>
      <c r="E89" s="28">
        <v>52358</v>
      </c>
      <c r="F89" s="28">
        <v>92728</v>
      </c>
      <c r="G89" s="28"/>
      <c r="H89" s="28">
        <v>54370</v>
      </c>
      <c r="I89" s="28">
        <v>45707</v>
      </c>
      <c r="J89" s="28">
        <v>9764</v>
      </c>
      <c r="K89" s="28">
        <v>5000</v>
      </c>
      <c r="L89" s="28">
        <v>71698</v>
      </c>
      <c r="M89" s="28">
        <v>174214</v>
      </c>
      <c r="N89" s="18">
        <v>27233</v>
      </c>
      <c r="O89" s="17">
        <v>448650</v>
      </c>
      <c r="P89" s="28">
        <v>88340</v>
      </c>
    </row>
    <row r="90" spans="1:16" ht="13.5" customHeight="1">
      <c r="A90" s="218"/>
      <c r="B90" s="27" t="s">
        <v>97</v>
      </c>
      <c r="C90" s="17">
        <v>4589148.4000000004</v>
      </c>
      <c r="D90" s="28">
        <v>0</v>
      </c>
      <c r="E90" s="28">
        <v>4032514</v>
      </c>
      <c r="F90" s="28">
        <v>2734952</v>
      </c>
      <c r="G90" s="28"/>
      <c r="H90" s="28">
        <v>3209114</v>
      </c>
      <c r="I90" s="28">
        <v>2172377</v>
      </c>
      <c r="J90" s="28">
        <v>3368317</v>
      </c>
      <c r="K90" s="28">
        <v>4733422.4800000004</v>
      </c>
      <c r="L90" s="28">
        <v>3442009</v>
      </c>
      <c r="M90" s="28">
        <v>4357682</v>
      </c>
      <c r="N90" s="18">
        <v>1338887</v>
      </c>
      <c r="O90" s="17">
        <v>2078033</v>
      </c>
      <c r="P90" s="28">
        <v>4023317</v>
      </c>
    </row>
    <row r="91" spans="1:16" ht="13.5" customHeight="1">
      <c r="A91" s="218"/>
      <c r="B91" s="27" t="s">
        <v>98</v>
      </c>
      <c r="C91" s="17">
        <v>161954.57999999999</v>
      </c>
      <c r="D91" s="28">
        <v>377204</v>
      </c>
      <c r="E91" s="28">
        <v>240331</v>
      </c>
      <c r="F91" s="28">
        <v>107027</v>
      </c>
      <c r="G91" s="28">
        <v>243550</v>
      </c>
      <c r="H91" s="28">
        <v>273873</v>
      </c>
      <c r="I91" s="28">
        <v>211610</v>
      </c>
      <c r="J91" s="28">
        <v>133363</v>
      </c>
      <c r="K91" s="28">
        <v>139009</v>
      </c>
      <c r="L91" s="28">
        <v>229308</v>
      </c>
      <c r="M91" s="28">
        <v>709977</v>
      </c>
      <c r="N91" s="18">
        <v>201895</v>
      </c>
      <c r="O91" s="17">
        <v>206684</v>
      </c>
      <c r="P91" s="28">
        <v>345234</v>
      </c>
    </row>
    <row r="92" spans="1:16" ht="13.5" customHeight="1">
      <c r="A92" s="218"/>
      <c r="B92" s="27" t="s">
        <v>99</v>
      </c>
      <c r="C92" s="17">
        <v>5162.2299999999996</v>
      </c>
      <c r="D92" s="28">
        <v>3401375</v>
      </c>
      <c r="E92" s="28">
        <v>0</v>
      </c>
      <c r="F92" s="28">
        <v>0</v>
      </c>
      <c r="G92" s="28">
        <v>3703093</v>
      </c>
      <c r="H92" s="28">
        <v>0</v>
      </c>
      <c r="I92" s="28">
        <v>0</v>
      </c>
      <c r="J92" s="28">
        <v>259429</v>
      </c>
      <c r="K92" s="28">
        <v>0</v>
      </c>
      <c r="L92" s="28">
        <v>0</v>
      </c>
      <c r="M92" s="28">
        <v>0</v>
      </c>
      <c r="N92" s="18">
        <v>11940</v>
      </c>
      <c r="O92" s="17">
        <v>0</v>
      </c>
      <c r="P92" s="28">
        <v>0</v>
      </c>
    </row>
    <row r="93" spans="1:16" ht="13.5" customHeight="1">
      <c r="A93" s="218"/>
      <c r="B93" s="27" t="s">
        <v>180</v>
      </c>
      <c r="C93" s="17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18">
        <v>0</v>
      </c>
      <c r="O93" s="17">
        <v>0</v>
      </c>
      <c r="P93" s="28">
        <v>0</v>
      </c>
    </row>
    <row r="94" spans="1:16" ht="13.5" customHeight="1">
      <c r="A94" s="218"/>
      <c r="B94" s="27" t="s">
        <v>100</v>
      </c>
      <c r="C94" s="17">
        <f>-3089564.23-143554.58-1032.45</f>
        <v>-3234151.2600000002</v>
      </c>
      <c r="D94" s="28">
        <f>-349079-2784241</f>
        <v>-3133320</v>
      </c>
      <c r="E94" s="28">
        <f>-2988735-192438</f>
        <v>-3181173</v>
      </c>
      <c r="F94" s="28">
        <f>-2063622-107027</f>
        <v>-2170649</v>
      </c>
      <c r="G94" s="28">
        <v>-2229814</v>
      </c>
      <c r="H94" s="28">
        <f>-2522522-268702</f>
        <v>-2791224</v>
      </c>
      <c r="I94" s="28">
        <f>-1430353-211610</f>
        <v>-1641963</v>
      </c>
      <c r="J94" s="28">
        <f>-2292631-98221-86476</f>
        <v>-2477328</v>
      </c>
      <c r="K94" s="28">
        <f>-3362558.53-139009</f>
        <v>-3501567.53</v>
      </c>
      <c r="L94" s="28">
        <f>-2735128-191840</f>
        <v>-2926968</v>
      </c>
      <c r="M94" s="28">
        <f>-2663801-625342</f>
        <v>-3289143</v>
      </c>
      <c r="N94" s="18">
        <f>-892964-185896-7164</f>
        <v>-1086024</v>
      </c>
      <c r="O94" s="17">
        <f>-1893315-206684</f>
        <v>-2099999</v>
      </c>
      <c r="P94" s="28">
        <f>-2562254-332932</f>
        <v>-2895186</v>
      </c>
    </row>
    <row r="95" spans="1:16" ht="13.5" customHeight="1">
      <c r="A95" s="218"/>
      <c r="B95" s="27" t="s">
        <v>101</v>
      </c>
      <c r="C95" s="17">
        <v>0</v>
      </c>
      <c r="D95" s="28">
        <v>-1</v>
      </c>
      <c r="E95" s="28">
        <v>0</v>
      </c>
      <c r="F95" s="28">
        <v>0</v>
      </c>
      <c r="G95" s="28"/>
      <c r="H95" s="28">
        <v>-1</v>
      </c>
      <c r="I95" s="28">
        <v>-1</v>
      </c>
      <c r="J95" s="28">
        <v>0</v>
      </c>
      <c r="K95" s="28">
        <v>0</v>
      </c>
      <c r="L95" s="28">
        <v>2</v>
      </c>
      <c r="M95" s="28">
        <v>-1</v>
      </c>
      <c r="N95" s="18">
        <v>0</v>
      </c>
      <c r="O95" s="17">
        <v>1</v>
      </c>
      <c r="P95" s="28">
        <v>0</v>
      </c>
    </row>
    <row r="96" spans="1:16" s="20" customFormat="1" ht="13.5" customHeight="1">
      <c r="A96" s="201" t="s">
        <v>102</v>
      </c>
      <c r="B96" s="21"/>
      <c r="C96" s="22">
        <f>SUM(C82:C95)</f>
        <v>1678162.7600000002</v>
      </c>
      <c r="D96" s="22">
        <f t="shared" ref="D96:P96" si="24">SUM(D82:D95)</f>
        <v>1372970</v>
      </c>
      <c r="E96" s="22">
        <f t="shared" si="24"/>
        <v>2353804</v>
      </c>
      <c r="F96" s="22">
        <f t="shared" si="24"/>
        <v>1295182</v>
      </c>
      <c r="G96" s="22">
        <f t="shared" si="24"/>
        <v>1784430</v>
      </c>
      <c r="H96" s="22">
        <f t="shared" si="24"/>
        <v>1011573</v>
      </c>
      <c r="I96" s="22">
        <f t="shared" si="24"/>
        <v>1132308</v>
      </c>
      <c r="J96" s="22">
        <f t="shared" si="24"/>
        <v>1742630</v>
      </c>
      <c r="K96" s="22">
        <f t="shared" si="24"/>
        <v>1451799.1400000011</v>
      </c>
      <c r="L96" s="22">
        <f t="shared" si="24"/>
        <v>1300409</v>
      </c>
      <c r="M96" s="22">
        <f t="shared" si="24"/>
        <v>4072856</v>
      </c>
      <c r="N96" s="22">
        <f t="shared" si="24"/>
        <v>2645511</v>
      </c>
      <c r="O96" s="22">
        <f t="shared" si="24"/>
        <v>741758</v>
      </c>
      <c r="P96" s="22">
        <f t="shared" si="24"/>
        <v>2029089</v>
      </c>
    </row>
    <row r="97" spans="1:16" s="20" customFormat="1" ht="13.5" customHeight="1">
      <c r="A97" s="201" t="s">
        <v>207</v>
      </c>
      <c r="B97" s="21"/>
      <c r="C97" s="22">
        <v>144067.76</v>
      </c>
      <c r="D97" s="22">
        <v>154185</v>
      </c>
      <c r="E97" s="22">
        <v>187718</v>
      </c>
      <c r="F97" s="22">
        <v>67596</v>
      </c>
      <c r="G97" s="22">
        <v>122000</v>
      </c>
      <c r="H97" s="22">
        <v>139848</v>
      </c>
      <c r="I97" s="22">
        <v>44480</v>
      </c>
      <c r="J97" s="22">
        <v>70405</v>
      </c>
      <c r="K97" s="22">
        <v>19918.04</v>
      </c>
      <c r="L97" s="22">
        <v>106040</v>
      </c>
      <c r="M97" s="22">
        <v>221010</v>
      </c>
      <c r="N97" s="22">
        <v>0</v>
      </c>
      <c r="O97" s="22">
        <v>0</v>
      </c>
      <c r="P97" s="22">
        <v>0</v>
      </c>
    </row>
    <row r="98" spans="1:16" s="41" customFormat="1" ht="13.5" customHeight="1">
      <c r="A98" s="223" t="s">
        <v>204</v>
      </c>
      <c r="B98" s="155"/>
      <c r="C98" s="156">
        <f>+C96+C97</f>
        <v>1822230.5200000003</v>
      </c>
      <c r="D98" s="156">
        <f t="shared" ref="D98:O98" si="25">+D96+D97</f>
        <v>1527155</v>
      </c>
      <c r="E98" s="156">
        <f t="shared" si="25"/>
        <v>2541522</v>
      </c>
      <c r="F98" s="156">
        <f t="shared" si="25"/>
        <v>1362778</v>
      </c>
      <c r="G98" s="156">
        <f t="shared" si="25"/>
        <v>1906430</v>
      </c>
      <c r="H98" s="156">
        <f t="shared" si="25"/>
        <v>1151421</v>
      </c>
      <c r="I98" s="156">
        <f t="shared" si="25"/>
        <v>1176788</v>
      </c>
      <c r="J98" s="156">
        <f t="shared" si="25"/>
        <v>1813035</v>
      </c>
      <c r="K98" s="156">
        <f t="shared" si="25"/>
        <v>1471717.1800000011</v>
      </c>
      <c r="L98" s="156">
        <f t="shared" si="25"/>
        <v>1406449</v>
      </c>
      <c r="M98" s="156">
        <f t="shared" si="25"/>
        <v>4293866</v>
      </c>
      <c r="N98" s="156">
        <f t="shared" si="25"/>
        <v>2645511</v>
      </c>
      <c r="O98" s="156">
        <f t="shared" si="25"/>
        <v>741758</v>
      </c>
      <c r="P98" s="156">
        <f>+P96+P97</f>
        <v>2029089</v>
      </c>
    </row>
    <row r="99" spans="1:16" ht="13.5" customHeight="1">
      <c r="A99" s="213" t="s">
        <v>205</v>
      </c>
      <c r="B99" s="27"/>
      <c r="C99" s="49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1"/>
      <c r="O99" s="49"/>
      <c r="P99" s="50"/>
    </row>
    <row r="100" spans="1:16" ht="13.5" customHeight="1">
      <c r="A100" s="218"/>
      <c r="B100" s="27" t="s">
        <v>103</v>
      </c>
      <c r="C100" s="17">
        <v>0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6250</v>
      </c>
      <c r="N100" s="18">
        <v>0</v>
      </c>
      <c r="O100" s="17">
        <v>0</v>
      </c>
      <c r="P100" s="28">
        <v>130</v>
      </c>
    </row>
    <row r="101" spans="1:16" ht="13.5" customHeight="1">
      <c r="A101" s="218"/>
      <c r="B101" s="27" t="s">
        <v>104</v>
      </c>
      <c r="C101" s="17">
        <f>134643.22+2335.76</f>
        <v>136978.98000000001</v>
      </c>
      <c r="D101" s="28">
        <v>4077</v>
      </c>
      <c r="E101" s="28">
        <v>21137</v>
      </c>
      <c r="F101" s="28">
        <v>16026</v>
      </c>
      <c r="G101" s="28">
        <v>16493</v>
      </c>
      <c r="H101" s="90">
        <v>3510</v>
      </c>
      <c r="I101" s="28">
        <v>84542</v>
      </c>
      <c r="J101" s="28">
        <v>34174</v>
      </c>
      <c r="K101" s="28">
        <v>0</v>
      </c>
      <c r="L101" s="28">
        <f>26609+21</f>
        <v>26630</v>
      </c>
      <c r="M101" s="28">
        <v>26319</v>
      </c>
      <c r="N101" s="18">
        <v>24039</v>
      </c>
      <c r="O101" s="17">
        <v>0</v>
      </c>
      <c r="P101" s="28">
        <v>0</v>
      </c>
    </row>
    <row r="102" spans="1:16" ht="13.5" customHeight="1">
      <c r="A102" s="218"/>
      <c r="B102" s="27" t="s">
        <v>105</v>
      </c>
      <c r="C102" s="17">
        <v>3583.75</v>
      </c>
      <c r="D102" s="28">
        <v>510</v>
      </c>
      <c r="E102" s="28">
        <v>7646</v>
      </c>
      <c r="F102" s="28">
        <v>6802</v>
      </c>
      <c r="G102" s="28">
        <v>0</v>
      </c>
      <c r="H102" s="28">
        <v>0</v>
      </c>
      <c r="I102" s="28">
        <v>0</v>
      </c>
      <c r="J102" s="28">
        <v>4248</v>
      </c>
      <c r="K102" s="28">
        <v>3959.38</v>
      </c>
      <c r="L102" s="28">
        <v>2049</v>
      </c>
      <c r="M102" s="28">
        <v>633</v>
      </c>
      <c r="N102" s="18">
        <v>14260</v>
      </c>
      <c r="O102" s="17">
        <v>0</v>
      </c>
      <c r="P102" s="28">
        <v>-18</v>
      </c>
    </row>
    <row r="103" spans="1:16" ht="13.5" customHeight="1">
      <c r="A103" s="218"/>
      <c r="B103" s="27" t="s">
        <v>106</v>
      </c>
      <c r="C103" s="17">
        <v>77467.7</v>
      </c>
      <c r="D103" s="28">
        <v>31412</v>
      </c>
      <c r="E103" s="28">
        <v>193059</v>
      </c>
      <c r="F103" s="28">
        <v>26168</v>
      </c>
      <c r="G103" s="28">
        <v>26476</v>
      </c>
      <c r="H103" s="28">
        <v>37283</v>
      </c>
      <c r="I103" s="28">
        <v>3330</v>
      </c>
      <c r="J103" s="28">
        <v>1982</v>
      </c>
      <c r="K103" s="28">
        <v>0</v>
      </c>
      <c r="L103" s="28">
        <v>84094</v>
      </c>
      <c r="M103" s="28">
        <v>0</v>
      </c>
      <c r="N103" s="18">
        <v>518653</v>
      </c>
      <c r="O103" s="17">
        <v>-40000</v>
      </c>
      <c r="P103" s="28">
        <v>27221</v>
      </c>
    </row>
    <row r="104" spans="1:16" ht="13.5" customHeight="1">
      <c r="A104" s="218"/>
      <c r="B104" s="27" t="s">
        <v>107</v>
      </c>
      <c r="C104" s="17">
        <v>0</v>
      </c>
      <c r="D104" s="28">
        <v>36512</v>
      </c>
      <c r="E104" s="28">
        <v>1771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8646</v>
      </c>
      <c r="N104" s="18">
        <v>1720</v>
      </c>
      <c r="O104" s="17">
        <v>0</v>
      </c>
      <c r="P104" s="28">
        <v>29822</v>
      </c>
    </row>
    <row r="105" spans="1:16" ht="13.5" customHeight="1">
      <c r="A105" s="218"/>
      <c r="B105" s="27" t="s">
        <v>108</v>
      </c>
      <c r="C105" s="17">
        <v>6945</v>
      </c>
      <c r="D105" s="28">
        <v>400</v>
      </c>
      <c r="E105" s="28">
        <v>15000</v>
      </c>
      <c r="F105" s="28">
        <v>12180</v>
      </c>
      <c r="G105" s="28">
        <v>1600</v>
      </c>
      <c r="H105" s="28">
        <v>13200</v>
      </c>
      <c r="I105" s="28">
        <v>5200</v>
      </c>
      <c r="J105" s="28">
        <v>2400</v>
      </c>
      <c r="K105" s="28">
        <v>0</v>
      </c>
      <c r="L105" s="28">
        <v>2000</v>
      </c>
      <c r="M105" s="28">
        <v>20110</v>
      </c>
      <c r="N105" s="18">
        <v>6900</v>
      </c>
      <c r="O105" s="17">
        <v>0</v>
      </c>
      <c r="P105" s="28">
        <v>0</v>
      </c>
    </row>
    <row r="106" spans="1:16" ht="13.5" customHeight="1">
      <c r="A106" s="218"/>
      <c r="B106" s="27" t="s">
        <v>109</v>
      </c>
      <c r="C106" s="17">
        <v>49149.21</v>
      </c>
      <c r="D106" s="28">
        <v>50492</v>
      </c>
      <c r="E106" s="28">
        <v>36748</v>
      </c>
      <c r="F106" s="28">
        <v>42057</v>
      </c>
      <c r="G106" s="28">
        <v>0</v>
      </c>
      <c r="H106" s="28">
        <v>4302</v>
      </c>
      <c r="I106" s="28">
        <v>0</v>
      </c>
      <c r="J106" s="28">
        <v>23433</v>
      </c>
      <c r="K106" s="28">
        <v>0</v>
      </c>
      <c r="L106" s="28">
        <v>26495</v>
      </c>
      <c r="M106" s="28">
        <v>79385</v>
      </c>
      <c r="N106" s="18">
        <v>7104</v>
      </c>
      <c r="O106" s="17">
        <v>0</v>
      </c>
      <c r="P106" s="28">
        <v>0</v>
      </c>
    </row>
    <row r="107" spans="1:16" ht="13.5" customHeight="1">
      <c r="A107" s="218"/>
      <c r="B107" s="27" t="s">
        <v>110</v>
      </c>
      <c r="C107" s="17">
        <v>82676.41</v>
      </c>
      <c r="D107" s="28">
        <v>36025</v>
      </c>
      <c r="E107" s="28">
        <v>0</v>
      </c>
      <c r="F107" s="28">
        <v>0</v>
      </c>
      <c r="G107" s="28">
        <v>53750</v>
      </c>
      <c r="H107" s="28">
        <v>0</v>
      </c>
      <c r="I107" s="28">
        <v>0</v>
      </c>
      <c r="J107" s="28">
        <v>21080</v>
      </c>
      <c r="K107" s="28">
        <v>123555.13</v>
      </c>
      <c r="L107" s="28">
        <v>8672</v>
      </c>
      <c r="M107" s="28">
        <v>4178</v>
      </c>
      <c r="N107" s="18">
        <v>5970</v>
      </c>
      <c r="O107" s="17">
        <v>123000</v>
      </c>
      <c r="P107" s="28">
        <v>17500</v>
      </c>
    </row>
    <row r="108" spans="1:16" ht="13.5" customHeight="1">
      <c r="A108" s="218"/>
      <c r="B108" s="27" t="s">
        <v>210</v>
      </c>
      <c r="C108" s="17">
        <v>617254.81999999995</v>
      </c>
      <c r="D108" s="28">
        <v>565620</v>
      </c>
      <c r="E108" s="28">
        <v>667059</v>
      </c>
      <c r="F108" s="28">
        <v>560154</v>
      </c>
      <c r="G108" s="28">
        <v>218000</v>
      </c>
      <c r="H108" s="28">
        <v>567162</v>
      </c>
      <c r="I108" s="28">
        <v>270585</v>
      </c>
      <c r="J108" s="28">
        <v>260406</v>
      </c>
      <c r="K108" s="28">
        <v>165056.18</v>
      </c>
      <c r="L108" s="28">
        <v>408094</v>
      </c>
      <c r="M108" s="28">
        <v>829038</v>
      </c>
      <c r="N108" s="18">
        <v>161299</v>
      </c>
      <c r="O108" s="17">
        <v>0</v>
      </c>
      <c r="P108" s="28">
        <v>0</v>
      </c>
    </row>
    <row r="109" spans="1:16" s="20" customFormat="1" ht="13.5" customHeight="1">
      <c r="A109" s="201" t="s">
        <v>209</v>
      </c>
      <c r="B109" s="21"/>
      <c r="C109" s="22">
        <f>SUM(C100:C108)</f>
        <v>974055.87</v>
      </c>
      <c r="D109" s="22">
        <f>SUM(D100:D108)</f>
        <v>725048</v>
      </c>
      <c r="E109" s="22">
        <f t="shared" ref="E109:O109" si="26">SUM(E100:E108)</f>
        <v>942420</v>
      </c>
      <c r="F109" s="22">
        <f t="shared" si="26"/>
        <v>663387</v>
      </c>
      <c r="G109" s="22">
        <f t="shared" si="26"/>
        <v>316319</v>
      </c>
      <c r="H109" s="22">
        <f t="shared" si="26"/>
        <v>625457</v>
      </c>
      <c r="I109" s="22">
        <f t="shared" si="26"/>
        <v>363657</v>
      </c>
      <c r="J109" s="22">
        <f t="shared" si="26"/>
        <v>347723</v>
      </c>
      <c r="K109" s="22">
        <f t="shared" si="26"/>
        <v>292570.69</v>
      </c>
      <c r="L109" s="22">
        <f t="shared" si="26"/>
        <v>558034</v>
      </c>
      <c r="M109" s="22">
        <f t="shared" si="26"/>
        <v>974559</v>
      </c>
      <c r="N109" s="22">
        <f t="shared" si="26"/>
        <v>739945</v>
      </c>
      <c r="O109" s="22">
        <f t="shared" si="26"/>
        <v>83000</v>
      </c>
      <c r="P109" s="22">
        <f>SUM(P100:P108)</f>
        <v>74655</v>
      </c>
    </row>
    <row r="110" spans="1:16" s="20" customFormat="1" ht="13.5" customHeight="1">
      <c r="A110" s="201" t="s">
        <v>208</v>
      </c>
      <c r="B110" s="21"/>
      <c r="C110" s="22">
        <v>1417.34</v>
      </c>
      <c r="D110" s="22">
        <v>1299</v>
      </c>
      <c r="E110" s="22">
        <v>1532</v>
      </c>
      <c r="F110" s="22">
        <v>1286</v>
      </c>
      <c r="G110" s="22">
        <v>16000</v>
      </c>
      <c r="H110" s="22">
        <v>1302</v>
      </c>
      <c r="I110" s="22">
        <v>621</v>
      </c>
      <c r="J110" s="22">
        <v>598</v>
      </c>
      <c r="K110" s="22">
        <v>379</v>
      </c>
      <c r="L110" s="22">
        <v>937</v>
      </c>
      <c r="M110" s="22">
        <v>1904</v>
      </c>
      <c r="N110" s="22">
        <v>0</v>
      </c>
      <c r="O110" s="22">
        <v>0</v>
      </c>
      <c r="P110" s="22">
        <v>0</v>
      </c>
    </row>
    <row r="111" spans="1:16" s="41" customFormat="1" ht="13.5" customHeight="1">
      <c r="A111" s="223" t="s">
        <v>206</v>
      </c>
      <c r="B111" s="155"/>
      <c r="C111" s="156">
        <f>+C109+C110</f>
        <v>975473.21</v>
      </c>
      <c r="D111" s="156">
        <f t="shared" ref="D111:O111" si="27">+D109+D110</f>
        <v>726347</v>
      </c>
      <c r="E111" s="156">
        <f t="shared" si="27"/>
        <v>943952</v>
      </c>
      <c r="F111" s="156">
        <f t="shared" si="27"/>
        <v>664673</v>
      </c>
      <c r="G111" s="156">
        <f t="shared" si="27"/>
        <v>332319</v>
      </c>
      <c r="H111" s="156">
        <f t="shared" si="27"/>
        <v>626759</v>
      </c>
      <c r="I111" s="156">
        <f t="shared" si="27"/>
        <v>364278</v>
      </c>
      <c r="J111" s="156">
        <f t="shared" si="27"/>
        <v>348321</v>
      </c>
      <c r="K111" s="156">
        <f t="shared" si="27"/>
        <v>292949.69</v>
      </c>
      <c r="L111" s="156">
        <f t="shared" si="27"/>
        <v>558971</v>
      </c>
      <c r="M111" s="156">
        <f t="shared" si="27"/>
        <v>976463</v>
      </c>
      <c r="N111" s="156">
        <f t="shared" si="27"/>
        <v>739945</v>
      </c>
      <c r="O111" s="156">
        <f t="shared" si="27"/>
        <v>83000</v>
      </c>
      <c r="P111" s="233">
        <f>+P109+P110</f>
        <v>74655</v>
      </c>
    </row>
    <row r="112" spans="1:16" ht="13.5" customHeight="1">
      <c r="A112" s="213" t="s">
        <v>111</v>
      </c>
      <c r="B112" s="27"/>
      <c r="C112" s="49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1"/>
      <c r="O112" s="49"/>
      <c r="P112" s="50"/>
    </row>
    <row r="113" spans="1:16" ht="13.5" customHeight="1">
      <c r="A113" s="218"/>
      <c r="B113" s="27" t="s">
        <v>112</v>
      </c>
      <c r="C113" s="17">
        <v>47552</v>
      </c>
      <c r="D113" s="28">
        <v>0</v>
      </c>
      <c r="E113" s="28">
        <v>151949</v>
      </c>
      <c r="F113" s="28">
        <v>153010</v>
      </c>
      <c r="G113" s="28"/>
      <c r="H113" s="28">
        <v>34355</v>
      </c>
      <c r="I113" s="28">
        <v>158296</v>
      </c>
      <c r="J113" s="28">
        <v>10685</v>
      </c>
      <c r="K113" s="28">
        <v>0</v>
      </c>
      <c r="L113" s="28">
        <v>132840</v>
      </c>
      <c r="M113" s="28">
        <v>1500</v>
      </c>
      <c r="N113" s="18">
        <v>0</v>
      </c>
      <c r="O113" s="17">
        <v>-15231</v>
      </c>
      <c r="P113" s="28">
        <v>0</v>
      </c>
    </row>
    <row r="114" spans="1:16" ht="13.5" customHeight="1">
      <c r="A114" s="218"/>
      <c r="B114" s="27" t="s">
        <v>39</v>
      </c>
      <c r="C114" s="17">
        <f>C61</f>
        <v>-409650</v>
      </c>
      <c r="D114" s="17">
        <f t="shared" ref="D114:P114" si="28">D61</f>
        <v>564044</v>
      </c>
      <c r="E114" s="17">
        <f t="shared" si="28"/>
        <v>461031</v>
      </c>
      <c r="F114" s="17">
        <f t="shared" si="28"/>
        <v>269442</v>
      </c>
      <c r="G114" s="17">
        <f t="shared" si="28"/>
        <v>23032</v>
      </c>
      <c r="H114" s="17">
        <f t="shared" si="28"/>
        <v>168267</v>
      </c>
      <c r="I114" s="17">
        <f t="shared" si="28"/>
        <v>93209</v>
      </c>
      <c r="J114" s="17">
        <f t="shared" si="28"/>
        <v>30104</v>
      </c>
      <c r="K114" s="17">
        <f t="shared" si="28"/>
        <v>71975.81</v>
      </c>
      <c r="L114" s="17">
        <f t="shared" si="28"/>
        <v>124473</v>
      </c>
      <c r="M114" s="17">
        <f t="shared" si="28"/>
        <v>1972035</v>
      </c>
      <c r="N114" s="17">
        <f t="shared" si="28"/>
        <v>1411635</v>
      </c>
      <c r="O114" s="17">
        <f t="shared" si="28"/>
        <v>30352</v>
      </c>
      <c r="P114" s="17">
        <f t="shared" si="28"/>
        <v>410229</v>
      </c>
    </row>
    <row r="115" spans="1:16" ht="13.5" customHeight="1">
      <c r="A115" s="218"/>
      <c r="B115" s="27" t="s">
        <v>212</v>
      </c>
      <c r="C115" s="17">
        <f>C62</f>
        <v>-474604</v>
      </c>
      <c r="D115" s="17">
        <f>D62</f>
        <v>-412734</v>
      </c>
      <c r="E115" s="17">
        <f t="shared" ref="E115:P115" si="29">E62</f>
        <v>-480873</v>
      </c>
      <c r="F115" s="17">
        <f t="shared" si="29"/>
        <v>-493844</v>
      </c>
      <c r="G115" s="17">
        <f t="shared" si="29"/>
        <v>-112000</v>
      </c>
      <c r="H115" s="17">
        <f t="shared" si="29"/>
        <v>-428616</v>
      </c>
      <c r="I115" s="17">
        <f t="shared" si="29"/>
        <v>-226727</v>
      </c>
      <c r="J115" s="17">
        <f t="shared" si="29"/>
        <v>-190600</v>
      </c>
      <c r="K115" s="17">
        <f t="shared" si="29"/>
        <v>-145517.13999999998</v>
      </c>
      <c r="L115" s="17">
        <f t="shared" si="29"/>
        <v>-302992</v>
      </c>
      <c r="M115" s="17">
        <f t="shared" si="29"/>
        <v>-609931</v>
      </c>
      <c r="N115" s="17">
        <f t="shared" si="29"/>
        <v>0</v>
      </c>
      <c r="O115" s="17">
        <f t="shared" si="29"/>
        <v>0</v>
      </c>
      <c r="P115" s="17">
        <f t="shared" si="29"/>
        <v>0</v>
      </c>
    </row>
    <row r="116" spans="1:16" ht="13.5" customHeight="1">
      <c r="A116" s="218"/>
      <c r="B116" s="27" t="s">
        <v>40</v>
      </c>
      <c r="C116" s="17">
        <f>C63</f>
        <v>0</v>
      </c>
      <c r="D116" s="17">
        <f t="shared" ref="D116:P116" si="30">D63</f>
        <v>0</v>
      </c>
      <c r="E116" s="17">
        <f t="shared" si="30"/>
        <v>0</v>
      </c>
      <c r="F116" s="17">
        <f t="shared" si="30"/>
        <v>0</v>
      </c>
      <c r="G116" s="17">
        <f t="shared" si="30"/>
        <v>0</v>
      </c>
      <c r="H116" s="17">
        <f t="shared" si="30"/>
        <v>0</v>
      </c>
      <c r="I116" s="17">
        <f t="shared" si="30"/>
        <v>0</v>
      </c>
      <c r="J116" s="17">
        <f t="shared" si="30"/>
        <v>0</v>
      </c>
      <c r="K116" s="17">
        <f t="shared" si="30"/>
        <v>0</v>
      </c>
      <c r="L116" s="17">
        <f t="shared" si="30"/>
        <v>0</v>
      </c>
      <c r="M116" s="17">
        <f t="shared" si="30"/>
        <v>0</v>
      </c>
      <c r="N116" s="17">
        <f t="shared" si="30"/>
        <v>0</v>
      </c>
      <c r="O116" s="17">
        <f t="shared" si="30"/>
        <v>0</v>
      </c>
      <c r="P116" s="17">
        <f t="shared" si="30"/>
        <v>0</v>
      </c>
    </row>
    <row r="117" spans="1:16" ht="13.5" customHeight="1">
      <c r="A117" s="218"/>
      <c r="B117" s="27" t="s">
        <v>113</v>
      </c>
      <c r="C117" s="17">
        <f>C64</f>
        <v>1683460</v>
      </c>
      <c r="D117" s="17">
        <f t="shared" ref="D117:P117" si="31">D64</f>
        <v>649498</v>
      </c>
      <c r="E117" s="17">
        <f t="shared" si="31"/>
        <v>1465462</v>
      </c>
      <c r="F117" s="17">
        <f t="shared" si="31"/>
        <v>769497.66000000015</v>
      </c>
      <c r="G117" s="17">
        <f t="shared" si="31"/>
        <v>1663079</v>
      </c>
      <c r="H117" s="17">
        <f t="shared" si="31"/>
        <v>750656</v>
      </c>
      <c r="I117" s="17">
        <f t="shared" si="31"/>
        <v>787731</v>
      </c>
      <c r="J117" s="17">
        <f t="shared" si="31"/>
        <v>1614523</v>
      </c>
      <c r="K117" s="17">
        <f t="shared" si="31"/>
        <v>1252308.8200000008</v>
      </c>
      <c r="L117" s="17">
        <f t="shared" si="31"/>
        <v>893157</v>
      </c>
      <c r="M117" s="17">
        <f t="shared" si="31"/>
        <v>1953801</v>
      </c>
      <c r="N117" s="17">
        <f t="shared" si="31"/>
        <v>493931</v>
      </c>
      <c r="O117" s="17">
        <f t="shared" si="31"/>
        <v>643637</v>
      </c>
      <c r="P117" s="17">
        <f t="shared" si="31"/>
        <v>1544205</v>
      </c>
    </row>
    <row r="118" spans="1:16" ht="13.5" customHeight="1">
      <c r="A118" s="224"/>
      <c r="B118" s="54" t="s">
        <v>101</v>
      </c>
      <c r="C118" s="55">
        <v>0</v>
      </c>
      <c r="D118" s="56">
        <v>0</v>
      </c>
      <c r="E118" s="56">
        <v>1</v>
      </c>
      <c r="F118" s="56"/>
      <c r="G118" s="56"/>
      <c r="H118" s="56">
        <v>0</v>
      </c>
      <c r="I118" s="56">
        <v>0</v>
      </c>
      <c r="J118" s="56">
        <v>2</v>
      </c>
      <c r="K118" s="56"/>
      <c r="L118" s="56">
        <v>0</v>
      </c>
      <c r="M118" s="56">
        <v>-2</v>
      </c>
      <c r="N118" s="57"/>
      <c r="O118" s="55">
        <v>0</v>
      </c>
      <c r="P118" s="56"/>
    </row>
    <row r="119" spans="1:16" s="20" customFormat="1" ht="13.5" customHeight="1">
      <c r="A119" s="201" t="s">
        <v>43</v>
      </c>
      <c r="B119" s="58"/>
      <c r="C119" s="59">
        <f>SUM(C113:C118)</f>
        <v>846758</v>
      </c>
      <c r="D119" s="59">
        <f t="shared" ref="D119:P119" si="32">SUM(D113:D118)</f>
        <v>800808</v>
      </c>
      <c r="E119" s="59">
        <f t="shared" si="32"/>
        <v>1597570</v>
      </c>
      <c r="F119" s="59">
        <f t="shared" si="32"/>
        <v>698105.66000000015</v>
      </c>
      <c r="G119" s="59">
        <f t="shared" si="32"/>
        <v>1574111</v>
      </c>
      <c r="H119" s="59">
        <f t="shared" si="32"/>
        <v>524662</v>
      </c>
      <c r="I119" s="59">
        <f t="shared" si="32"/>
        <v>812509</v>
      </c>
      <c r="J119" s="59">
        <f t="shared" si="32"/>
        <v>1464714</v>
      </c>
      <c r="K119" s="59">
        <f t="shared" si="32"/>
        <v>1178767.4900000007</v>
      </c>
      <c r="L119" s="59">
        <f t="shared" si="32"/>
        <v>847478</v>
      </c>
      <c r="M119" s="59">
        <f t="shared" si="32"/>
        <v>3317403</v>
      </c>
      <c r="N119" s="59">
        <f t="shared" ref="N119" si="33">SUM(N113:N118)</f>
        <v>1905566</v>
      </c>
      <c r="O119" s="59">
        <f t="shared" si="32"/>
        <v>658758</v>
      </c>
      <c r="P119" s="59">
        <f t="shared" si="32"/>
        <v>1954434</v>
      </c>
    </row>
    <row r="120" spans="1:16" s="41" customFormat="1">
      <c r="A120" s="223" t="s">
        <v>211</v>
      </c>
      <c r="B120" s="155"/>
      <c r="C120" s="156">
        <f>SUM(C111:C118)</f>
        <v>1822231.21</v>
      </c>
      <c r="D120" s="156">
        <f>SUM(D111:D118)</f>
        <v>1527155</v>
      </c>
      <c r="E120" s="156">
        <f t="shared" ref="E120:P120" si="34">SUM(E111:E118)</f>
        <v>2541522</v>
      </c>
      <c r="F120" s="156">
        <f t="shared" si="34"/>
        <v>1362778.6600000001</v>
      </c>
      <c r="G120" s="156">
        <f>SUM(G111:G118)</f>
        <v>1906430</v>
      </c>
      <c r="H120" s="156">
        <f>SUM(H111:H118)</f>
        <v>1151421</v>
      </c>
      <c r="I120" s="156">
        <f t="shared" si="34"/>
        <v>1176787</v>
      </c>
      <c r="J120" s="156">
        <f t="shared" si="34"/>
        <v>1813035</v>
      </c>
      <c r="K120" s="156">
        <f t="shared" si="34"/>
        <v>1471717.1800000009</v>
      </c>
      <c r="L120" s="156">
        <f t="shared" si="34"/>
        <v>1406449</v>
      </c>
      <c r="M120" s="156">
        <f t="shared" si="34"/>
        <v>4293866</v>
      </c>
      <c r="N120" s="156">
        <f t="shared" ref="N120" si="35">SUM(N111:N118)</f>
        <v>2645511</v>
      </c>
      <c r="O120" s="156">
        <f t="shared" si="34"/>
        <v>741758</v>
      </c>
      <c r="P120" s="156">
        <f t="shared" si="34"/>
        <v>2029089</v>
      </c>
    </row>
    <row r="121" spans="1:16" hidden="1">
      <c r="B121" s="10" t="s">
        <v>147</v>
      </c>
      <c r="C121" s="74">
        <f t="shared" ref="C121:P121" si="36">+C98-C120</f>
        <v>-0.68999999971129</v>
      </c>
      <c r="D121" s="74">
        <f t="shared" si="36"/>
        <v>0</v>
      </c>
      <c r="E121" s="74">
        <f>+E98-E120</f>
        <v>0</v>
      </c>
      <c r="F121" s="74">
        <f t="shared" si="36"/>
        <v>-0.66000000014901161</v>
      </c>
      <c r="G121" s="74">
        <f t="shared" si="36"/>
        <v>0</v>
      </c>
      <c r="H121" s="74">
        <f t="shared" si="36"/>
        <v>0</v>
      </c>
      <c r="I121" s="74">
        <f t="shared" si="36"/>
        <v>1</v>
      </c>
      <c r="J121" s="74">
        <f>+J98-J120</f>
        <v>0</v>
      </c>
      <c r="K121" s="74">
        <f t="shared" si="36"/>
        <v>0</v>
      </c>
      <c r="L121" s="74">
        <f t="shared" si="36"/>
        <v>0</v>
      </c>
      <c r="M121" s="74">
        <f t="shared" si="36"/>
        <v>0</v>
      </c>
      <c r="N121" s="88">
        <f t="shared" si="36"/>
        <v>0</v>
      </c>
      <c r="O121" s="74">
        <f t="shared" si="36"/>
        <v>0</v>
      </c>
      <c r="P121" s="74">
        <f t="shared" si="36"/>
        <v>0</v>
      </c>
    </row>
    <row r="122" spans="1:16" ht="12.75" customHeight="1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88"/>
      <c r="O122" s="74"/>
      <c r="P122" s="74"/>
    </row>
    <row r="123" spans="1:16" ht="43.5" customHeight="1">
      <c r="A123" s="262" t="s">
        <v>114</v>
      </c>
      <c r="B123" s="263"/>
      <c r="C123" s="256">
        <f t="shared" ref="C123:P123" si="37">C56/(C32)</f>
        <v>-6.1629012930203717E-2</v>
      </c>
      <c r="D123" s="256">
        <f t="shared" si="37"/>
        <v>8.0751953039293986E-2</v>
      </c>
      <c r="E123" s="256">
        <f t="shared" si="37"/>
        <v>0.12806220507756877</v>
      </c>
      <c r="F123" s="256">
        <f t="shared" si="37"/>
        <v>1.5141719764002311E-2</v>
      </c>
      <c r="G123" s="278">
        <f t="shared" ref="G123" si="38">G56/(G32)</f>
        <v>-0.22365938687494499</v>
      </c>
      <c r="H123" s="256">
        <f t="shared" si="37"/>
        <v>3.1775330392297282E-2</v>
      </c>
      <c r="I123" s="256">
        <f t="shared" si="37"/>
        <v>-0.27829017222452174</v>
      </c>
      <c r="J123" s="256">
        <f t="shared" si="37"/>
        <v>-8.9754379699842193E-2</v>
      </c>
      <c r="K123" s="256">
        <f t="shared" si="37"/>
        <v>-0.21259343799215799</v>
      </c>
      <c r="L123" s="256">
        <f t="shared" si="37"/>
        <v>-1.9002015716588612E-2</v>
      </c>
      <c r="M123" s="256">
        <f t="shared" si="37"/>
        <v>0.1758729261874388</v>
      </c>
      <c r="N123" s="256">
        <f t="shared" ref="N123" si="39">N56/(N32)</f>
        <v>-0.11873076355341464</v>
      </c>
      <c r="O123" s="256">
        <f t="shared" si="37"/>
        <v>-5.0967571554762274E-2</v>
      </c>
      <c r="P123" s="256">
        <f t="shared" si="37"/>
        <v>-2.8116553553121003E-2</v>
      </c>
    </row>
    <row r="124" spans="1:16" ht="24">
      <c r="A124" s="192"/>
      <c r="B124" s="193" t="s">
        <v>115</v>
      </c>
      <c r="C124" s="256"/>
      <c r="D124" s="256"/>
      <c r="E124" s="256"/>
      <c r="F124" s="256"/>
      <c r="G124" s="279"/>
      <c r="H124" s="256"/>
      <c r="I124" s="256"/>
      <c r="J124" s="256"/>
      <c r="K124" s="256"/>
      <c r="L124" s="256"/>
      <c r="M124" s="256"/>
      <c r="N124" s="256"/>
      <c r="O124" s="256"/>
      <c r="P124" s="256"/>
    </row>
    <row r="125" spans="1:16" ht="14.25">
      <c r="A125" s="194" t="s">
        <v>188</v>
      </c>
      <c r="B125" s="195"/>
      <c r="C125" s="253">
        <f t="shared" ref="C125:P125" si="40">(SUM(C84:C85))/SUM(C100:C105)</f>
        <v>-9.7971765183424694E-2</v>
      </c>
      <c r="D125" s="253">
        <f t="shared" si="40"/>
        <v>9.7859307923358614</v>
      </c>
      <c r="E125" s="253">
        <f t="shared" si="40"/>
        <v>3.7229363027161138</v>
      </c>
      <c r="F125" s="253">
        <f t="shared" si="40"/>
        <v>8.5929776382895255</v>
      </c>
      <c r="G125" s="253">
        <f t="shared" ref="G125" si="41">(SUM(G84:G85))/SUM(G100:G105)</f>
        <v>1.5167717471785322</v>
      </c>
      <c r="H125" s="253">
        <f t="shared" si="40"/>
        <v>4.7199266571592613</v>
      </c>
      <c r="I125" s="253">
        <f t="shared" si="40"/>
        <v>3.5769511775829463</v>
      </c>
      <c r="J125" s="253">
        <f t="shared" si="40"/>
        <v>2.0282683861321371</v>
      </c>
      <c r="K125" s="253">
        <f t="shared" si="40"/>
        <v>19.178555733473424</v>
      </c>
      <c r="L125" s="253">
        <f t="shared" si="40"/>
        <v>2.420900385979281</v>
      </c>
      <c r="M125" s="253">
        <f t="shared" si="40"/>
        <v>34.13405855579586</v>
      </c>
      <c r="N125" s="253">
        <f t="shared" ref="N125" si="42">(SUM(N84:N85))/SUM(N100:N105)</f>
        <v>3.4263453636318628</v>
      </c>
      <c r="O125" s="253">
        <f t="shared" si="40"/>
        <v>-2.4529999999999998</v>
      </c>
      <c r="P125" s="253">
        <f t="shared" si="40"/>
        <v>7.0757763975155283</v>
      </c>
    </row>
    <row r="126" spans="1:16" ht="36">
      <c r="A126" s="196"/>
      <c r="B126" s="197" t="s">
        <v>189</v>
      </c>
      <c r="C126" s="254"/>
      <c r="D126" s="254"/>
      <c r="E126" s="254"/>
      <c r="F126" s="254"/>
      <c r="G126" s="254"/>
      <c r="H126" s="254"/>
      <c r="I126" s="254"/>
      <c r="J126" s="254"/>
      <c r="K126" s="254"/>
      <c r="L126" s="254"/>
      <c r="M126" s="254"/>
      <c r="N126" s="254"/>
      <c r="O126" s="254"/>
      <c r="P126" s="254"/>
    </row>
    <row r="127" spans="1:16" ht="14.25">
      <c r="A127" s="194" t="s">
        <v>190</v>
      </c>
      <c r="B127" s="195"/>
      <c r="C127" s="253">
        <f t="shared" ref="C127:P127" si="43">(SUM(C84:C85))/SUM(C100:C106)</f>
        <v>-8.0405905868221106E-2</v>
      </c>
      <c r="D127" s="253">
        <f t="shared" si="43"/>
        <v>5.7818853674546</v>
      </c>
      <c r="E127" s="253">
        <f t="shared" si="43"/>
        <v>3.2260959249857462</v>
      </c>
      <c r="F127" s="253">
        <f t="shared" si="43"/>
        <v>5.0922088866932089</v>
      </c>
      <c r="G127" s="253">
        <f t="shared" ref="G127" si="44">(SUM(G84:G85))/SUM(G100:G106)</f>
        <v>1.5167717471785322</v>
      </c>
      <c r="H127" s="253">
        <f t="shared" si="43"/>
        <v>4.3716099150870571</v>
      </c>
      <c r="I127" s="253">
        <f t="shared" si="43"/>
        <v>3.5769511775829463</v>
      </c>
      <c r="J127" s="253">
        <f t="shared" si="43"/>
        <v>1.3107175747693887</v>
      </c>
      <c r="K127" s="253">
        <f t="shared" si="43"/>
        <v>19.178555733473424</v>
      </c>
      <c r="L127" s="253">
        <f t="shared" si="43"/>
        <v>1.9668573208369906</v>
      </c>
      <c r="M127" s="253">
        <f t="shared" si="43"/>
        <v>14.962736039280331</v>
      </c>
      <c r="N127" s="253">
        <f t="shared" ref="N127" si="45">(SUM(N84:N85))/SUM(N100:N106)</f>
        <v>3.3838418232997367</v>
      </c>
      <c r="O127" s="253">
        <f t="shared" si="43"/>
        <v>-2.4529999999999998</v>
      </c>
      <c r="P127" s="253">
        <f t="shared" si="43"/>
        <v>7.0757763975155283</v>
      </c>
    </row>
    <row r="128" spans="1:16" ht="24">
      <c r="A128" s="196"/>
      <c r="B128" s="197" t="s">
        <v>191</v>
      </c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</row>
    <row r="129" spans="1:16" s="115" customFormat="1" ht="8.1" customHeight="1">
      <c r="A129" s="116"/>
      <c r="B129" s="117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9"/>
    </row>
    <row r="130" spans="1:16" ht="12.75" customHeight="1">
      <c r="A130" s="199" t="s">
        <v>116</v>
      </c>
      <c r="B130" s="58"/>
      <c r="C130" s="255">
        <f t="shared" ref="C130:P130" si="46">C111/C98</f>
        <v>0.53531822636797888</v>
      </c>
      <c r="D130" s="255">
        <f t="shared" si="46"/>
        <v>0.47562100769077142</v>
      </c>
      <c r="E130" s="255">
        <f t="shared" si="46"/>
        <v>0.37141209086523747</v>
      </c>
      <c r="F130" s="255">
        <f t="shared" si="46"/>
        <v>0.48773387888562919</v>
      </c>
      <c r="G130" s="280">
        <f t="shared" ref="G130" si="47">G111/G98</f>
        <v>0.17431481879743815</v>
      </c>
      <c r="H130" s="255">
        <f t="shared" si="46"/>
        <v>0.54433521709261856</v>
      </c>
      <c r="I130" s="255">
        <f t="shared" si="46"/>
        <v>0.30955278265923852</v>
      </c>
      <c r="J130" s="255">
        <f t="shared" si="46"/>
        <v>0.19212039480760162</v>
      </c>
      <c r="K130" s="255">
        <f t="shared" si="46"/>
        <v>0.19905297973079297</v>
      </c>
      <c r="L130" s="255">
        <f t="shared" si="46"/>
        <v>0.39743424752692774</v>
      </c>
      <c r="M130" s="255">
        <f t="shared" si="46"/>
        <v>0.22740881993057072</v>
      </c>
      <c r="N130" s="255">
        <f t="shared" ref="N130" si="48">N111/N98</f>
        <v>0.27969832671268424</v>
      </c>
      <c r="O130" s="255">
        <f t="shared" si="46"/>
        <v>0.11189633276621216</v>
      </c>
      <c r="P130" s="255">
        <f t="shared" si="46"/>
        <v>3.6792373326157701E-2</v>
      </c>
    </row>
    <row r="131" spans="1:16" ht="25.5">
      <c r="A131" s="192"/>
      <c r="B131" s="198" t="s">
        <v>117</v>
      </c>
      <c r="C131" s="255"/>
      <c r="D131" s="255"/>
      <c r="E131" s="255"/>
      <c r="F131" s="255"/>
      <c r="G131" s="281"/>
      <c r="H131" s="255"/>
      <c r="I131" s="255"/>
      <c r="J131" s="255"/>
      <c r="K131" s="255"/>
      <c r="L131" s="255"/>
      <c r="M131" s="255"/>
      <c r="N131" s="255"/>
      <c r="O131" s="255"/>
      <c r="P131" s="255"/>
    </row>
    <row r="132" spans="1:16" ht="12.75" customHeight="1">
      <c r="A132" s="199" t="s">
        <v>118</v>
      </c>
      <c r="B132" s="200"/>
      <c r="C132" s="255">
        <f t="shared" ref="C132:P132" si="49">C119/C98</f>
        <v>0.46468215228883331</v>
      </c>
      <c r="D132" s="255">
        <f t="shared" si="49"/>
        <v>0.52437899230922858</v>
      </c>
      <c r="E132" s="255">
        <f t="shared" si="49"/>
        <v>0.62858790913476259</v>
      </c>
      <c r="F132" s="255">
        <f t="shared" si="49"/>
        <v>0.51226660541922464</v>
      </c>
      <c r="G132" s="280">
        <f t="shared" ref="G132" si="50">G119/G98</f>
        <v>0.82568518120256185</v>
      </c>
      <c r="H132" s="255">
        <f t="shared" si="49"/>
        <v>0.45566478290738138</v>
      </c>
      <c r="I132" s="255">
        <f t="shared" si="49"/>
        <v>0.69044636757002964</v>
      </c>
      <c r="J132" s="255">
        <f t="shared" si="49"/>
        <v>0.80787960519239843</v>
      </c>
      <c r="K132" s="255">
        <f t="shared" si="49"/>
        <v>0.80094702026920672</v>
      </c>
      <c r="L132" s="255">
        <f t="shared" si="49"/>
        <v>0.6025657524730722</v>
      </c>
      <c r="M132" s="255">
        <f t="shared" si="49"/>
        <v>0.77259118006942928</v>
      </c>
      <c r="N132" s="255">
        <f t="shared" ref="N132" si="51">N119/N98</f>
        <v>0.72030167328731576</v>
      </c>
      <c r="O132" s="255">
        <f t="shared" si="49"/>
        <v>0.88810366723378786</v>
      </c>
      <c r="P132" s="255">
        <f t="shared" si="49"/>
        <v>0.9632076266738423</v>
      </c>
    </row>
    <row r="133" spans="1:16" ht="24">
      <c r="A133" s="192"/>
      <c r="B133" s="193" t="s">
        <v>119</v>
      </c>
      <c r="C133" s="255"/>
      <c r="D133" s="255"/>
      <c r="E133" s="255"/>
      <c r="F133" s="255"/>
      <c r="G133" s="281"/>
      <c r="H133" s="255"/>
      <c r="I133" s="255"/>
      <c r="J133" s="255"/>
      <c r="K133" s="255"/>
      <c r="L133" s="255"/>
      <c r="M133" s="255"/>
      <c r="N133" s="255"/>
      <c r="O133" s="255"/>
      <c r="P133" s="255"/>
    </row>
    <row r="134" spans="1:16" ht="12.75" customHeight="1">
      <c r="A134" s="264" t="s">
        <v>120</v>
      </c>
      <c r="B134" s="265"/>
      <c r="C134" s="255">
        <f t="shared" ref="C134:P134" si="52">C111/C119</f>
        <v>1.1520094407138757</v>
      </c>
      <c r="D134" s="255">
        <f t="shared" si="52"/>
        <v>0.90701766216121715</v>
      </c>
      <c r="E134" s="255">
        <f t="shared" si="52"/>
        <v>0.59086737983312154</v>
      </c>
      <c r="F134" s="255">
        <f t="shared" si="52"/>
        <v>0.952109455752013</v>
      </c>
      <c r="G134" s="280">
        <f t="shared" ref="G134" si="53">G111/G119</f>
        <v>0.21111535336453402</v>
      </c>
      <c r="H134" s="255">
        <f t="shared" si="52"/>
        <v>1.1945957587932803</v>
      </c>
      <c r="I134" s="255">
        <f t="shared" si="52"/>
        <v>0.44833718764961372</v>
      </c>
      <c r="J134" s="255">
        <f t="shared" si="52"/>
        <v>0.23780820009913198</v>
      </c>
      <c r="K134" s="255">
        <f t="shared" si="52"/>
        <v>0.24852203041330892</v>
      </c>
      <c r="L134" s="255">
        <f t="shared" si="52"/>
        <v>0.65956992393902847</v>
      </c>
      <c r="M134" s="255">
        <f t="shared" si="52"/>
        <v>0.29434560709084789</v>
      </c>
      <c r="N134" s="255">
        <f t="shared" ref="N134" si="54">N111/N119</f>
        <v>0.38830720111504929</v>
      </c>
      <c r="O134" s="255">
        <f t="shared" si="52"/>
        <v>0.12599467482747836</v>
      </c>
      <c r="P134" s="255">
        <f t="shared" si="52"/>
        <v>3.8197759555963516E-2</v>
      </c>
    </row>
    <row r="135" spans="1:16" ht="12.75" customHeight="1">
      <c r="A135" s="192"/>
      <c r="B135" s="193" t="s">
        <v>121</v>
      </c>
      <c r="C135" s="255"/>
      <c r="D135" s="255"/>
      <c r="E135" s="255"/>
      <c r="F135" s="255"/>
      <c r="G135" s="281"/>
      <c r="H135" s="255"/>
      <c r="I135" s="255"/>
      <c r="J135" s="255"/>
      <c r="K135" s="255"/>
      <c r="L135" s="255"/>
      <c r="M135" s="255"/>
      <c r="N135" s="255"/>
      <c r="O135" s="255"/>
      <c r="P135" s="255"/>
    </row>
    <row r="136" spans="1:16" s="115" customFormat="1" ht="8.1" customHeight="1">
      <c r="A136" s="120"/>
      <c r="B136" s="121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4"/>
    </row>
    <row r="137" spans="1:16">
      <c r="A137" s="201" t="s">
        <v>122</v>
      </c>
      <c r="B137" s="21"/>
      <c r="C137" s="91">
        <v>2</v>
      </c>
      <c r="D137" s="91">
        <v>3</v>
      </c>
      <c r="E137" s="91">
        <v>5</v>
      </c>
      <c r="F137" s="91">
        <v>4</v>
      </c>
      <c r="G137" s="91">
        <v>1</v>
      </c>
      <c r="H137" s="91">
        <v>2</v>
      </c>
      <c r="I137" s="91">
        <v>0</v>
      </c>
      <c r="J137" s="91">
        <v>2</v>
      </c>
      <c r="K137" s="91">
        <v>1</v>
      </c>
      <c r="L137" s="91">
        <v>2</v>
      </c>
      <c r="M137" s="91">
        <v>5</v>
      </c>
      <c r="N137" s="91">
        <v>5</v>
      </c>
      <c r="O137" s="91">
        <v>4</v>
      </c>
      <c r="P137" s="91">
        <v>4</v>
      </c>
    </row>
    <row r="138" spans="1:16" s="115" customFormat="1" ht="8.1" customHeight="1">
      <c r="A138" s="126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7"/>
    </row>
    <row r="139" spans="1:16">
      <c r="A139" s="203" t="s">
        <v>123</v>
      </c>
      <c r="B139" s="203"/>
      <c r="C139" s="128">
        <v>4223</v>
      </c>
      <c r="D139" s="133">
        <v>16573</v>
      </c>
      <c r="E139" s="133">
        <v>13807</v>
      </c>
      <c r="F139" s="133">
        <v>23231</v>
      </c>
      <c r="G139" s="133">
        <v>16570</v>
      </c>
      <c r="H139" s="133">
        <v>17425</v>
      </c>
      <c r="I139" s="133">
        <v>17359</v>
      </c>
      <c r="J139" s="133">
        <v>16107</v>
      </c>
      <c r="K139" s="133">
        <v>9678</v>
      </c>
      <c r="L139" s="133">
        <v>27561</v>
      </c>
      <c r="M139" s="45" t="s">
        <v>228</v>
      </c>
      <c r="N139" s="133">
        <v>7005</v>
      </c>
      <c r="O139" s="133">
        <v>28702</v>
      </c>
      <c r="P139" s="133">
        <v>34765</v>
      </c>
    </row>
    <row r="140" spans="1:16">
      <c r="A140" s="202" t="s">
        <v>124</v>
      </c>
      <c r="B140" s="202"/>
      <c r="C140" s="51">
        <v>1455</v>
      </c>
      <c r="D140" s="133">
        <v>30232</v>
      </c>
      <c r="E140" s="133">
        <v>1036</v>
      </c>
      <c r="F140" s="133">
        <v>15798</v>
      </c>
      <c r="G140" s="133">
        <v>3636</v>
      </c>
      <c r="H140" s="133">
        <v>3694</v>
      </c>
      <c r="I140" s="133">
        <v>6471</v>
      </c>
      <c r="J140" s="133">
        <v>8466</v>
      </c>
      <c r="K140" s="133">
        <v>1485</v>
      </c>
      <c r="L140" s="133">
        <v>11867</v>
      </c>
      <c r="M140" s="45" t="s">
        <v>228</v>
      </c>
      <c r="N140" s="133">
        <v>3761</v>
      </c>
      <c r="O140" s="133">
        <v>24663</v>
      </c>
      <c r="P140" s="133">
        <v>35184</v>
      </c>
    </row>
    <row r="141" spans="1:16">
      <c r="A141" s="202" t="s">
        <v>125</v>
      </c>
      <c r="B141" s="202"/>
      <c r="C141" s="128">
        <v>5678</v>
      </c>
      <c r="D141" s="133">
        <v>46805</v>
      </c>
      <c r="E141" s="133">
        <v>14843</v>
      </c>
      <c r="F141" s="133">
        <v>39029</v>
      </c>
      <c r="G141" s="133">
        <v>20206</v>
      </c>
      <c r="H141" s="133">
        <v>21119</v>
      </c>
      <c r="I141" s="133">
        <v>23830</v>
      </c>
      <c r="J141" s="133">
        <v>24573</v>
      </c>
      <c r="K141" s="133">
        <v>11163</v>
      </c>
      <c r="L141" s="133">
        <v>39428</v>
      </c>
      <c r="M141" s="45" t="s">
        <v>228</v>
      </c>
      <c r="N141" s="133">
        <v>10766</v>
      </c>
      <c r="O141" s="133">
        <v>53365</v>
      </c>
      <c r="P141" s="133">
        <v>69949</v>
      </c>
    </row>
    <row r="144" spans="1:16" ht="12.75" customHeight="1">
      <c r="A144" s="148"/>
      <c r="B144" s="48"/>
      <c r="C144" s="101"/>
      <c r="D144" s="101"/>
      <c r="H144" s="44"/>
      <c r="I144" s="44"/>
      <c r="J144" s="44"/>
      <c r="K144" s="44"/>
      <c r="L144" s="44"/>
      <c r="M144" s="44"/>
      <c r="O144" s="44"/>
      <c r="P144" s="44"/>
    </row>
    <row r="145" spans="1:13" ht="12.75" customHeight="1">
      <c r="A145" s="148"/>
      <c r="B145" s="48"/>
      <c r="C145" s="101"/>
      <c r="D145" s="101"/>
      <c r="M145" s="44"/>
    </row>
  </sheetData>
  <mergeCells count="101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D125:D126"/>
    <mergeCell ref="E125:E126"/>
    <mergeCell ref="F125:F126"/>
    <mergeCell ref="D127:D128"/>
    <mergeCell ref="E127:E128"/>
    <mergeCell ref="F127:F128"/>
    <mergeCell ref="D130:D131"/>
    <mergeCell ref="E130:E131"/>
    <mergeCell ref="F130:F131"/>
    <mergeCell ref="D132:D133"/>
    <mergeCell ref="E132:E133"/>
    <mergeCell ref="L123:L124"/>
    <mergeCell ref="M123:M124"/>
    <mergeCell ref="N123:N124"/>
    <mergeCell ref="O123:O124"/>
    <mergeCell ref="P123:P124"/>
    <mergeCell ref="G123:G124"/>
    <mergeCell ref="H123:H124"/>
    <mergeCell ref="I123:I124"/>
    <mergeCell ref="J123:J124"/>
    <mergeCell ref="K123:K124"/>
    <mergeCell ref="L125:L126"/>
    <mergeCell ref="M125:M126"/>
    <mergeCell ref="N125:N126"/>
    <mergeCell ref="O125:O126"/>
    <mergeCell ref="P125:P126"/>
    <mergeCell ref="G125:G126"/>
    <mergeCell ref="H125:H126"/>
    <mergeCell ref="I125:I126"/>
    <mergeCell ref="J125:J126"/>
    <mergeCell ref="K125:K126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30:L131"/>
    <mergeCell ref="M130:M131"/>
    <mergeCell ref="N130:N131"/>
    <mergeCell ref="O130:O131"/>
    <mergeCell ref="P130:P131"/>
    <mergeCell ref="G130:G131"/>
    <mergeCell ref="H130:H131"/>
    <mergeCell ref="I130:I131"/>
    <mergeCell ref="J130:J131"/>
    <mergeCell ref="K130:K131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E124 O123:P124 H123:M124">
    <cfRule type="cellIs" dxfId="40" priority="12" operator="lessThan">
      <formula>0</formula>
    </cfRule>
  </conditionalFormatting>
  <conditionalFormatting sqref="N123:N124">
    <cfRule type="cellIs" dxfId="39" priority="11" operator="lessThan">
      <formula>0</formula>
    </cfRule>
  </conditionalFormatting>
  <conditionalFormatting sqref="C66:E66 H66:P66">
    <cfRule type="cellIs" dxfId="38" priority="10" operator="lessThan">
      <formula>0</formula>
    </cfRule>
  </conditionalFormatting>
  <conditionalFormatting sqref="F123:F124">
    <cfRule type="cellIs" dxfId="37" priority="6" operator="lessThan">
      <formula>0</formula>
    </cfRule>
  </conditionalFormatting>
  <conditionalFormatting sqref="F66">
    <cfRule type="cellIs" dxfId="36" priority="5" operator="lessThan">
      <formula>0</formula>
    </cfRule>
  </conditionalFormatting>
  <conditionalFormatting sqref="G123:G124">
    <cfRule type="cellIs" dxfId="35" priority="2" operator="lessThan">
      <formula>0</formula>
    </cfRule>
  </conditionalFormatting>
  <conditionalFormatting sqref="G66">
    <cfRule type="cellIs" dxfId="34" priority="1" operator="lessThan">
      <formula>0</formula>
    </cfRule>
  </conditionalFormatting>
  <printOptions horizontalCentered="1"/>
  <pageMargins left="0.5" right="0.5" top="0.75" bottom="0.35" header="0.5" footer="0.15"/>
  <pageSetup scale="63" fitToHeight="0" orientation="portrait" r:id="rId1"/>
  <headerFooter alignWithMargins="0">
    <oddHeader>&amp;C&amp;"Arial,Bold"&amp;14CLASS III FAIRS</oddHeader>
    <oddFooter>&amp;CFairs and Expositions</oddFooter>
  </headerFooter>
  <rowBreaks count="1" manualBreakCount="1">
    <brk id="77" max="15" man="1"/>
  </rowBreaks>
  <colBreaks count="1" manualBreakCount="1">
    <brk id="9" max="14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7"/>
  <sheetViews>
    <sheetView view="pageBreakPreview" zoomScale="85" zoomScaleNormal="10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13" width="12.7109375" style="10" customWidth="1"/>
    <col min="14" max="16" width="12.7109375" style="44" customWidth="1"/>
    <col min="17" max="16384" width="9.140625" style="10"/>
  </cols>
  <sheetData>
    <row r="1" spans="1:16" ht="12" customHeight="1">
      <c r="A1" s="266"/>
      <c r="B1" s="267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16" ht="12" customHeight="1">
      <c r="A2" s="268"/>
      <c r="B2" s="269"/>
      <c r="C2" s="272" t="s">
        <v>148</v>
      </c>
      <c r="D2" s="272" t="s">
        <v>149</v>
      </c>
      <c r="E2" s="272" t="s">
        <v>150</v>
      </c>
      <c r="F2" s="272" t="s">
        <v>151</v>
      </c>
      <c r="G2" s="272" t="s">
        <v>213</v>
      </c>
      <c r="H2" s="272" t="s">
        <v>152</v>
      </c>
      <c r="I2" s="272" t="s">
        <v>153</v>
      </c>
      <c r="J2" s="272" t="s">
        <v>154</v>
      </c>
      <c r="K2" s="272" t="s">
        <v>155</v>
      </c>
      <c r="L2" s="272" t="s">
        <v>156</v>
      </c>
      <c r="M2" s="272" t="s">
        <v>157</v>
      </c>
      <c r="N2" s="272" t="s">
        <v>158</v>
      </c>
      <c r="O2" s="272" t="s">
        <v>229</v>
      </c>
      <c r="P2" s="272" t="s">
        <v>230</v>
      </c>
    </row>
    <row r="3" spans="1:16" ht="69" customHeight="1">
      <c r="A3" s="270"/>
      <c r="B3" s="271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</row>
    <row r="4" spans="1:16" ht="13.5" customHeight="1">
      <c r="A4" s="213" t="s">
        <v>218</v>
      </c>
      <c r="B4" s="11"/>
      <c r="C4" s="35"/>
      <c r="D4" s="35"/>
      <c r="E4" s="35"/>
      <c r="F4" s="35"/>
      <c r="G4" s="35"/>
      <c r="H4" s="35"/>
      <c r="I4" s="35"/>
      <c r="J4" s="35"/>
      <c r="K4" s="35"/>
      <c r="L4" s="35"/>
      <c r="M4" s="34"/>
      <c r="N4" s="34"/>
      <c r="O4" s="34"/>
      <c r="P4" s="36"/>
    </row>
    <row r="5" spans="1:16" ht="13.5" customHeight="1">
      <c r="A5" s="213"/>
      <c r="B5" s="11" t="s">
        <v>39</v>
      </c>
      <c r="C5" s="13">
        <v>493922</v>
      </c>
      <c r="D5" s="13">
        <v>1844656.2</v>
      </c>
      <c r="E5" s="13">
        <v>220561</v>
      </c>
      <c r="F5" s="13">
        <v>2614828.77</v>
      </c>
      <c r="G5" s="13">
        <v>163208</v>
      </c>
      <c r="H5" s="13">
        <v>156876</v>
      </c>
      <c r="I5" s="13">
        <v>229400</v>
      </c>
      <c r="J5" s="13">
        <v>626935</v>
      </c>
      <c r="K5" s="13">
        <v>1178906</v>
      </c>
      <c r="L5" s="13">
        <v>482132</v>
      </c>
      <c r="M5" s="13">
        <v>209343</v>
      </c>
      <c r="N5" s="13">
        <v>1009605</v>
      </c>
      <c r="O5" s="13">
        <v>112096</v>
      </c>
      <c r="P5" s="239">
        <v>12332</v>
      </c>
    </row>
    <row r="6" spans="1:16" ht="13.5" customHeight="1">
      <c r="A6" s="213"/>
      <c r="B6" s="11" t="s">
        <v>217</v>
      </c>
      <c r="C6" s="28">
        <v>-563053</v>
      </c>
      <c r="D6" s="28">
        <v>0</v>
      </c>
      <c r="E6" s="28">
        <v>-295094</v>
      </c>
      <c r="F6" s="28">
        <v>-527087.68999999994</v>
      </c>
      <c r="G6" s="28">
        <v>-604454</v>
      </c>
      <c r="H6" s="28">
        <v>-671144</v>
      </c>
      <c r="I6" s="28">
        <v>5716</v>
      </c>
      <c r="J6" s="28">
        <v>-336330</v>
      </c>
      <c r="K6" s="28">
        <v>-471988</v>
      </c>
      <c r="L6" s="28">
        <v>0</v>
      </c>
      <c r="M6" s="28">
        <v>0</v>
      </c>
      <c r="N6" s="28">
        <v>0</v>
      </c>
      <c r="O6" s="29">
        <v>-297653</v>
      </c>
      <c r="P6" s="16">
        <v>0</v>
      </c>
    </row>
    <row r="7" spans="1:16" ht="13.5" customHeight="1">
      <c r="A7" s="213"/>
      <c r="B7" s="11" t="s">
        <v>40</v>
      </c>
      <c r="C7" s="28">
        <v>0</v>
      </c>
      <c r="D7" s="28">
        <v>-550757.46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9">
        <v>0</v>
      </c>
      <c r="O7" s="29">
        <v>1786</v>
      </c>
      <c r="P7" s="16">
        <v>0</v>
      </c>
    </row>
    <row r="8" spans="1:16" ht="13.5" customHeight="1">
      <c r="A8" s="213"/>
      <c r="B8" s="11" t="s">
        <v>41</v>
      </c>
      <c r="C8" s="28">
        <v>2992833</v>
      </c>
      <c r="D8" s="28">
        <v>806087</v>
      </c>
      <c r="E8" s="18">
        <v>1967828</v>
      </c>
      <c r="F8" s="18">
        <v>5792429.4199999999</v>
      </c>
      <c r="G8" s="18">
        <v>1611118</v>
      </c>
      <c r="H8" s="18">
        <v>2787784</v>
      </c>
      <c r="I8" s="18">
        <v>2561985</v>
      </c>
      <c r="J8" s="28">
        <v>723318</v>
      </c>
      <c r="K8" s="18">
        <v>1253504</v>
      </c>
      <c r="L8" s="18">
        <v>1492399</v>
      </c>
      <c r="M8" s="17">
        <v>1046637</v>
      </c>
      <c r="N8" s="17">
        <v>5826806</v>
      </c>
      <c r="O8" s="17">
        <v>1330784</v>
      </c>
      <c r="P8" s="16">
        <v>406753</v>
      </c>
    </row>
    <row r="9" spans="1:16" ht="13.5" customHeight="1">
      <c r="A9" s="213"/>
      <c r="B9" s="11" t="s">
        <v>42</v>
      </c>
      <c r="C9" s="83">
        <v>0</v>
      </c>
      <c r="D9" s="83">
        <v>0</v>
      </c>
      <c r="E9" s="66">
        <v>0</v>
      </c>
      <c r="F9" s="66"/>
      <c r="G9" s="66">
        <v>0</v>
      </c>
      <c r="H9" s="66">
        <v>0</v>
      </c>
      <c r="I9" s="66">
        <v>-523374</v>
      </c>
      <c r="J9" s="83">
        <v>0</v>
      </c>
      <c r="K9" s="66">
        <v>0</v>
      </c>
      <c r="L9" s="66">
        <v>0</v>
      </c>
      <c r="M9" s="67">
        <v>-1549</v>
      </c>
      <c r="N9" s="67">
        <v>0</v>
      </c>
      <c r="O9" s="67">
        <v>0</v>
      </c>
      <c r="P9" s="18">
        <v>0</v>
      </c>
    </row>
    <row r="10" spans="1:16" s="20" customFormat="1" ht="13.5" customHeight="1" thickBot="1">
      <c r="A10" s="214"/>
      <c r="B10" s="84" t="s">
        <v>43</v>
      </c>
      <c r="C10" s="60">
        <f t="shared" ref="C10:L10" si="0">SUM(C5:C9)</f>
        <v>2923702</v>
      </c>
      <c r="D10" s="60">
        <f t="shared" si="0"/>
        <v>2099985.7400000002</v>
      </c>
      <c r="E10" s="60">
        <f t="shared" si="0"/>
        <v>1893295</v>
      </c>
      <c r="F10" s="60">
        <f t="shared" si="0"/>
        <v>7880170.5</v>
      </c>
      <c r="G10" s="60">
        <f t="shared" si="0"/>
        <v>1169872</v>
      </c>
      <c r="H10" s="60">
        <f t="shared" si="0"/>
        <v>2273516</v>
      </c>
      <c r="I10" s="60">
        <f t="shared" si="0"/>
        <v>2273727</v>
      </c>
      <c r="J10" s="60">
        <f t="shared" si="0"/>
        <v>1013923</v>
      </c>
      <c r="K10" s="60">
        <f t="shared" si="0"/>
        <v>1960422</v>
      </c>
      <c r="L10" s="60">
        <f t="shared" si="0"/>
        <v>1974531</v>
      </c>
      <c r="M10" s="60">
        <f>SUM(M5:M9)</f>
        <v>1254431</v>
      </c>
      <c r="N10" s="60">
        <f>SUM(N5:N9)</f>
        <v>6836411</v>
      </c>
      <c r="O10" s="60">
        <f>SUM(O5:O9)</f>
        <v>1147013</v>
      </c>
      <c r="P10" s="60">
        <f t="shared" ref="P10" si="1">SUM(P5:P9)</f>
        <v>419085</v>
      </c>
    </row>
    <row r="11" spans="1:16" s="20" customFormat="1" ht="13.5" customHeight="1">
      <c r="A11" s="192" t="s">
        <v>44</v>
      </c>
      <c r="B11" s="33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s="20" customFormat="1" ht="13.5" customHeight="1">
      <c r="A12" s="215"/>
      <c r="B12" s="21" t="s">
        <v>45</v>
      </c>
      <c r="C12" s="22">
        <v>38190</v>
      </c>
      <c r="D12" s="22">
        <v>38190</v>
      </c>
      <c r="E12" s="22">
        <v>38190</v>
      </c>
      <c r="F12" s="22">
        <v>38190</v>
      </c>
      <c r="G12" s="22">
        <v>38190</v>
      </c>
      <c r="H12" s="22">
        <v>38190</v>
      </c>
      <c r="I12" s="22">
        <v>38190</v>
      </c>
      <c r="J12" s="22">
        <v>38190</v>
      </c>
      <c r="K12" s="22">
        <v>38190</v>
      </c>
      <c r="L12" s="22">
        <v>38190</v>
      </c>
      <c r="M12" s="22">
        <v>38190</v>
      </c>
      <c r="N12" s="22">
        <v>38190</v>
      </c>
      <c r="O12" s="22">
        <v>38190</v>
      </c>
      <c r="P12" s="22">
        <v>0</v>
      </c>
    </row>
    <row r="13" spans="1:16" s="20" customFormat="1" ht="13.5" customHeight="1">
      <c r="A13" s="215"/>
      <c r="B13" s="21" t="s">
        <v>46</v>
      </c>
      <c r="C13" s="22">
        <v>0</v>
      </c>
      <c r="D13" s="22">
        <v>0</v>
      </c>
      <c r="E13" s="22">
        <v>127562</v>
      </c>
      <c r="F13" s="22">
        <v>3645.04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18778</v>
      </c>
      <c r="P13" s="22">
        <v>6932872</v>
      </c>
    </row>
    <row r="14" spans="1:16" s="20" customFormat="1" ht="13.5" customHeight="1" thickBot="1">
      <c r="A14" s="216"/>
      <c r="B14" s="30" t="s">
        <v>47</v>
      </c>
      <c r="C14" s="31">
        <f>2419+5905</f>
        <v>8324</v>
      </c>
      <c r="D14" s="31">
        <v>2419</v>
      </c>
      <c r="E14" s="31">
        <f>2419+15000</f>
        <v>17419</v>
      </c>
      <c r="F14" s="31">
        <v>0</v>
      </c>
      <c r="G14" s="31">
        <v>2419</v>
      </c>
      <c r="H14" s="31">
        <f>2419+247000+30915+627960</f>
        <v>908294</v>
      </c>
      <c r="I14" s="31">
        <v>0</v>
      </c>
      <c r="J14" s="31">
        <v>2419</v>
      </c>
      <c r="K14" s="31">
        <v>2419</v>
      </c>
      <c r="L14" s="31">
        <v>2419</v>
      </c>
      <c r="M14" s="31">
        <v>0</v>
      </c>
      <c r="N14" s="31">
        <v>2419</v>
      </c>
      <c r="O14" s="31">
        <f>2419+88824</f>
        <v>91243</v>
      </c>
      <c r="P14" s="31">
        <v>0</v>
      </c>
    </row>
    <row r="15" spans="1:16" ht="13.5" customHeight="1">
      <c r="A15" s="217" t="s">
        <v>48</v>
      </c>
      <c r="B15" s="23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4"/>
      <c r="N15" s="24"/>
      <c r="O15" s="24"/>
      <c r="P15" s="26"/>
    </row>
    <row r="16" spans="1:16" ht="13.5" customHeight="1">
      <c r="A16" s="218"/>
      <c r="B16" s="27" t="s">
        <v>49</v>
      </c>
      <c r="C16" s="28">
        <v>315671</v>
      </c>
      <c r="D16" s="28">
        <v>675102</v>
      </c>
      <c r="E16" s="28">
        <v>537167</v>
      </c>
      <c r="F16" s="28">
        <v>296051</v>
      </c>
      <c r="G16" s="28">
        <v>143345</v>
      </c>
      <c r="H16" s="28">
        <v>332009</v>
      </c>
      <c r="I16" s="28">
        <v>107992</v>
      </c>
      <c r="J16" s="28">
        <v>369736</v>
      </c>
      <c r="K16" s="28">
        <v>445620</v>
      </c>
      <c r="L16" s="28">
        <v>191147</v>
      </c>
      <c r="M16" s="17">
        <v>327872</v>
      </c>
      <c r="N16" s="17">
        <v>196978</v>
      </c>
      <c r="O16" s="17">
        <v>232535</v>
      </c>
      <c r="P16" s="18">
        <v>0</v>
      </c>
    </row>
    <row r="17" spans="1:16" ht="13.5" customHeight="1">
      <c r="A17" s="218"/>
      <c r="B17" s="27" t="s">
        <v>50</v>
      </c>
      <c r="C17" s="28">
        <v>60600</v>
      </c>
      <c r="D17" s="28">
        <v>50890</v>
      </c>
      <c r="E17" s="28">
        <v>58778</v>
      </c>
      <c r="F17" s="28">
        <v>21100</v>
      </c>
      <c r="G17" s="28">
        <v>22675</v>
      </c>
      <c r="H17" s="28">
        <v>37333</v>
      </c>
      <c r="I17" s="28">
        <v>62535</v>
      </c>
      <c r="J17" s="28">
        <v>52915</v>
      </c>
      <c r="K17" s="28">
        <v>65947</v>
      </c>
      <c r="L17" s="28">
        <v>75297</v>
      </c>
      <c r="M17" s="17">
        <v>40905</v>
      </c>
      <c r="N17" s="17">
        <v>29565</v>
      </c>
      <c r="O17" s="17">
        <v>6105</v>
      </c>
      <c r="P17" s="18">
        <v>46716</v>
      </c>
    </row>
    <row r="18" spans="1:16" ht="13.5" customHeight="1">
      <c r="A18" s="218"/>
      <c r="B18" s="27" t="s">
        <v>51</v>
      </c>
      <c r="C18" s="28">
        <v>215376</v>
      </c>
      <c r="D18" s="28">
        <v>7000</v>
      </c>
      <c r="E18" s="28">
        <v>0</v>
      </c>
      <c r="F18" s="28">
        <v>153221.99</v>
      </c>
      <c r="G18" s="28">
        <v>105808</v>
      </c>
      <c r="H18" s="28">
        <v>145378</v>
      </c>
      <c r="I18" s="28">
        <v>131805</v>
      </c>
      <c r="J18" s="28">
        <v>139112</v>
      </c>
      <c r="K18" s="28">
        <v>352051</v>
      </c>
      <c r="L18" s="28">
        <v>130000</v>
      </c>
      <c r="M18" s="17">
        <v>136278</v>
      </c>
      <c r="N18" s="17">
        <v>135533</v>
      </c>
      <c r="O18" s="17">
        <v>0</v>
      </c>
      <c r="P18" s="18">
        <v>0</v>
      </c>
    </row>
    <row r="19" spans="1:16" ht="13.5" customHeight="1">
      <c r="A19" s="218"/>
      <c r="B19" s="27" t="s">
        <v>52</v>
      </c>
      <c r="C19" s="28">
        <v>126768</v>
      </c>
      <c r="D19" s="28">
        <v>130811</v>
      </c>
      <c r="E19" s="28">
        <v>260446</v>
      </c>
      <c r="F19" s="28">
        <v>122510.29</v>
      </c>
      <c r="G19" s="28">
        <v>51657</v>
      </c>
      <c r="H19" s="28">
        <v>82869</v>
      </c>
      <c r="I19" s="28">
        <v>56831</v>
      </c>
      <c r="J19" s="28">
        <v>136420</v>
      </c>
      <c r="K19" s="28">
        <v>225726</v>
      </c>
      <c r="L19" s="28">
        <v>77905</v>
      </c>
      <c r="M19" s="17">
        <v>170344</v>
      </c>
      <c r="N19" s="17">
        <v>88925</v>
      </c>
      <c r="O19" s="17">
        <v>58470</v>
      </c>
      <c r="P19" s="18">
        <v>0</v>
      </c>
    </row>
    <row r="20" spans="1:16" ht="13.5" customHeight="1">
      <c r="A20" s="218"/>
      <c r="B20" s="27" t="s">
        <v>53</v>
      </c>
      <c r="C20" s="28">
        <v>12613</v>
      </c>
      <c r="D20" s="28">
        <v>60280</v>
      </c>
      <c r="E20" s="28">
        <v>5008</v>
      </c>
      <c r="F20" s="28">
        <v>13974</v>
      </c>
      <c r="G20" s="28">
        <v>13316</v>
      </c>
      <c r="H20" s="28">
        <v>20248</v>
      </c>
      <c r="I20" s="28">
        <v>22135</v>
      </c>
      <c r="J20" s="28">
        <v>18245</v>
      </c>
      <c r="K20" s="28">
        <v>44454</v>
      </c>
      <c r="L20" s="28">
        <v>32017</v>
      </c>
      <c r="M20" s="17">
        <v>34595</v>
      </c>
      <c r="N20" s="17">
        <v>27819</v>
      </c>
      <c r="O20" s="17">
        <v>11915</v>
      </c>
      <c r="P20" s="18">
        <v>0</v>
      </c>
    </row>
    <row r="21" spans="1:16" ht="13.5" customHeight="1">
      <c r="A21" s="218"/>
      <c r="B21" s="27" t="s">
        <v>54</v>
      </c>
      <c r="C21" s="28">
        <v>0</v>
      </c>
      <c r="D21" s="28">
        <v>0</v>
      </c>
      <c r="E21" s="28">
        <v>31286</v>
      </c>
      <c r="F21" s="28">
        <v>0</v>
      </c>
      <c r="G21" s="28">
        <v>0</v>
      </c>
      <c r="H21" s="28">
        <v>0</v>
      </c>
      <c r="I21" s="28">
        <v>2165</v>
      </c>
      <c r="J21" s="28">
        <v>0</v>
      </c>
      <c r="K21" s="28">
        <v>0</v>
      </c>
      <c r="L21" s="28">
        <v>24608</v>
      </c>
      <c r="M21" s="17">
        <v>0</v>
      </c>
      <c r="N21" s="17">
        <v>4945</v>
      </c>
      <c r="O21" s="17">
        <v>0</v>
      </c>
      <c r="P21" s="18">
        <v>0</v>
      </c>
    </row>
    <row r="22" spans="1:16" ht="13.5" customHeight="1">
      <c r="A22" s="218"/>
      <c r="B22" s="27" t="s">
        <v>55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15">
        <v>463788</v>
      </c>
      <c r="N22" s="15">
        <v>0</v>
      </c>
      <c r="O22" s="15">
        <v>0</v>
      </c>
      <c r="P22" s="16">
        <v>0</v>
      </c>
    </row>
    <row r="23" spans="1:16" ht="13.5" customHeight="1">
      <c r="A23" s="218"/>
      <c r="B23" s="27" t="s">
        <v>56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16946</v>
      </c>
      <c r="J23" s="28">
        <v>0</v>
      </c>
      <c r="K23" s="28">
        <v>0</v>
      </c>
      <c r="L23" s="28">
        <v>0</v>
      </c>
      <c r="M23" s="17">
        <v>0</v>
      </c>
      <c r="N23" s="17">
        <v>0</v>
      </c>
      <c r="O23" s="17">
        <v>0</v>
      </c>
      <c r="P23" s="18">
        <v>0</v>
      </c>
    </row>
    <row r="24" spans="1:16" ht="13.5" customHeight="1">
      <c r="A24" s="218"/>
      <c r="B24" s="27" t="s">
        <v>57</v>
      </c>
      <c r="C24" s="28">
        <v>14764</v>
      </c>
      <c r="D24" s="28">
        <v>15040</v>
      </c>
      <c r="E24" s="28">
        <v>0</v>
      </c>
      <c r="F24" s="28">
        <v>5612</v>
      </c>
      <c r="G24" s="28">
        <v>0</v>
      </c>
      <c r="H24" s="28">
        <v>0</v>
      </c>
      <c r="I24" s="28">
        <v>0</v>
      </c>
      <c r="J24" s="28">
        <v>73256</v>
      </c>
      <c r="K24" s="28">
        <v>0</v>
      </c>
      <c r="L24" s="28">
        <v>1600</v>
      </c>
      <c r="M24" s="17">
        <v>7495</v>
      </c>
      <c r="N24" s="17">
        <v>0</v>
      </c>
      <c r="O24" s="17">
        <v>0</v>
      </c>
      <c r="P24" s="18">
        <v>0</v>
      </c>
    </row>
    <row r="25" spans="1:16" ht="13.5" customHeight="1">
      <c r="A25" s="218"/>
      <c r="B25" s="27" t="s">
        <v>58</v>
      </c>
      <c r="C25" s="28">
        <v>0</v>
      </c>
      <c r="D25" s="28">
        <v>95784</v>
      </c>
      <c r="E25" s="28">
        <v>0</v>
      </c>
      <c r="F25" s="28">
        <v>0</v>
      </c>
      <c r="G25" s="28">
        <v>0</v>
      </c>
      <c r="H25" s="28">
        <v>0</v>
      </c>
      <c r="I25" s="28">
        <v>5250</v>
      </c>
      <c r="J25" s="28">
        <v>0</v>
      </c>
      <c r="K25" s="28">
        <v>0</v>
      </c>
      <c r="L25" s="28">
        <v>0</v>
      </c>
      <c r="M25" s="17">
        <v>0</v>
      </c>
      <c r="N25" s="17">
        <v>0</v>
      </c>
      <c r="O25" s="17">
        <v>195779</v>
      </c>
      <c r="P25" s="18">
        <v>18516</v>
      </c>
    </row>
    <row r="26" spans="1:16" ht="13.5" customHeight="1">
      <c r="A26" s="218"/>
      <c r="B26" s="27" t="s">
        <v>59</v>
      </c>
      <c r="C26" s="28">
        <v>0</v>
      </c>
      <c r="D26" s="28">
        <v>0</v>
      </c>
      <c r="E26" s="28">
        <v>0</v>
      </c>
      <c r="F26" s="28">
        <v>0</v>
      </c>
      <c r="G26" s="28">
        <v>88780</v>
      </c>
      <c r="H26" s="28">
        <v>0</v>
      </c>
      <c r="I26" s="28">
        <v>0</v>
      </c>
      <c r="J26" s="28">
        <v>0</v>
      </c>
      <c r="K26" s="28">
        <v>1030</v>
      </c>
      <c r="L26" s="28">
        <v>59344</v>
      </c>
      <c r="M26" s="17">
        <v>0</v>
      </c>
      <c r="N26" s="17">
        <v>0</v>
      </c>
      <c r="O26" s="17">
        <v>72213</v>
      </c>
      <c r="P26" s="18"/>
    </row>
    <row r="27" spans="1:16" ht="13.5" customHeight="1">
      <c r="A27" s="218"/>
      <c r="B27" s="27" t="s">
        <v>60</v>
      </c>
      <c r="C27" s="28">
        <v>182085</v>
      </c>
      <c r="D27" s="28">
        <v>107012</v>
      </c>
      <c r="E27" s="28">
        <v>184519</v>
      </c>
      <c r="F27" s="28">
        <v>166085</v>
      </c>
      <c r="G27" s="28">
        <v>39300</v>
      </c>
      <c r="H27" s="28">
        <v>116711</v>
      </c>
      <c r="I27" s="28">
        <v>94146</v>
      </c>
      <c r="J27" s="28">
        <v>96139</v>
      </c>
      <c r="K27" s="28">
        <v>209383</v>
      </c>
      <c r="L27" s="28">
        <v>101235</v>
      </c>
      <c r="M27" s="17">
        <v>385649</v>
      </c>
      <c r="N27" s="17">
        <v>466226</v>
      </c>
      <c r="O27" s="17">
        <v>97666</v>
      </c>
      <c r="P27" s="18">
        <v>0</v>
      </c>
    </row>
    <row r="28" spans="1:16" ht="13.5" customHeight="1">
      <c r="A28" s="218"/>
      <c r="B28" s="27" t="s">
        <v>145</v>
      </c>
      <c r="C28" s="28">
        <v>17200</v>
      </c>
      <c r="D28" s="28">
        <v>2300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17">
        <v>0</v>
      </c>
      <c r="N28" s="17">
        <v>304892</v>
      </c>
      <c r="O28" s="17">
        <v>526963</v>
      </c>
      <c r="P28" s="18">
        <v>0</v>
      </c>
    </row>
    <row r="29" spans="1:16" ht="13.5" customHeight="1">
      <c r="A29" s="218"/>
      <c r="B29" s="27" t="s">
        <v>62</v>
      </c>
      <c r="C29" s="28">
        <v>752842</v>
      </c>
      <c r="D29" s="28">
        <v>651107</v>
      </c>
      <c r="E29" s="28">
        <v>821664</v>
      </c>
      <c r="F29" s="28">
        <v>2026085.07</v>
      </c>
      <c r="G29" s="28">
        <v>591051</v>
      </c>
      <c r="H29" s="28">
        <v>1378258</v>
      </c>
      <c r="I29" s="28">
        <v>246566</v>
      </c>
      <c r="J29" s="28">
        <v>303817</v>
      </c>
      <c r="K29" s="28">
        <v>52466</v>
      </c>
      <c r="L29" s="28">
        <f>477440+37828</f>
        <v>515268</v>
      </c>
      <c r="M29" s="17">
        <v>251323</v>
      </c>
      <c r="N29" s="17">
        <v>448130</v>
      </c>
      <c r="O29" s="17">
        <v>151753</v>
      </c>
      <c r="P29" s="18">
        <v>49380</v>
      </c>
    </row>
    <row r="30" spans="1:16" ht="13.5" customHeight="1">
      <c r="A30" s="218"/>
      <c r="B30" s="27" t="s">
        <v>63</v>
      </c>
      <c r="C30" s="28">
        <v>0</v>
      </c>
      <c r="D30" s="28">
        <v>0</v>
      </c>
      <c r="E30" s="28">
        <v>1279</v>
      </c>
      <c r="F30" s="28">
        <v>0</v>
      </c>
      <c r="G30" s="28">
        <v>-10301</v>
      </c>
      <c r="H30" s="28">
        <v>1784</v>
      </c>
      <c r="I30" s="28">
        <v>5104</v>
      </c>
      <c r="J30" s="28">
        <v>3954</v>
      </c>
      <c r="K30" s="28">
        <v>729</v>
      </c>
      <c r="L30" s="28">
        <v>-88</v>
      </c>
      <c r="M30" s="17">
        <v>0</v>
      </c>
      <c r="N30" s="17">
        <v>11015</v>
      </c>
      <c r="O30" s="17">
        <v>419</v>
      </c>
      <c r="P30" s="18">
        <v>0</v>
      </c>
    </row>
    <row r="31" spans="1:16" ht="13.5" customHeight="1">
      <c r="A31" s="218"/>
      <c r="B31" s="27" t="s">
        <v>64</v>
      </c>
      <c r="C31" s="29">
        <v>14369</v>
      </c>
      <c r="D31" s="29">
        <v>34094</v>
      </c>
      <c r="E31" s="29">
        <v>1213</v>
      </c>
      <c r="F31" s="29">
        <v>28709.53</v>
      </c>
      <c r="G31" s="29">
        <v>30</v>
      </c>
      <c r="H31" s="29">
        <v>15176</v>
      </c>
      <c r="I31" s="29">
        <v>2368</v>
      </c>
      <c r="J31" s="29">
        <v>11188</v>
      </c>
      <c r="K31" s="29">
        <v>4187</v>
      </c>
      <c r="L31" s="29">
        <f>4918+48857</f>
        <v>53775</v>
      </c>
      <c r="M31" s="15">
        <v>17158</v>
      </c>
      <c r="N31" s="15">
        <v>0</v>
      </c>
      <c r="O31" s="15">
        <v>30788</v>
      </c>
      <c r="P31" s="16">
        <v>88394</v>
      </c>
    </row>
    <row r="32" spans="1:16" s="20" customFormat="1" ht="13.5" customHeight="1" thickBot="1">
      <c r="A32" s="214" t="s">
        <v>65</v>
      </c>
      <c r="B32" s="30"/>
      <c r="C32" s="31">
        <f>SUM(C16:C31)</f>
        <v>1712288</v>
      </c>
      <c r="D32" s="31">
        <f t="shared" ref="D32:O32" si="2">SUM(D16:D31)</f>
        <v>1829420</v>
      </c>
      <c r="E32" s="31">
        <f t="shared" si="2"/>
        <v>1901360</v>
      </c>
      <c r="F32" s="31">
        <f t="shared" si="2"/>
        <v>2833348.88</v>
      </c>
      <c r="G32" s="31">
        <f t="shared" si="2"/>
        <v>1045661</v>
      </c>
      <c r="H32" s="31">
        <f t="shared" si="2"/>
        <v>2129766</v>
      </c>
      <c r="I32" s="31">
        <f t="shared" si="2"/>
        <v>753843</v>
      </c>
      <c r="J32" s="31">
        <f t="shared" si="2"/>
        <v>1204782</v>
      </c>
      <c r="K32" s="31">
        <f t="shared" si="2"/>
        <v>1401593</v>
      </c>
      <c r="L32" s="31">
        <f t="shared" si="2"/>
        <v>1262108</v>
      </c>
      <c r="M32" s="31">
        <f t="shared" si="2"/>
        <v>1835407</v>
      </c>
      <c r="N32" s="31">
        <f t="shared" si="2"/>
        <v>1714028</v>
      </c>
      <c r="O32" s="31">
        <f t="shared" si="2"/>
        <v>1384606</v>
      </c>
      <c r="P32" s="31">
        <f t="shared" ref="P32" si="3">SUM(P16:P31)</f>
        <v>203006</v>
      </c>
    </row>
    <row r="33" spans="1:16" ht="13.5" customHeight="1">
      <c r="A33" s="217" t="s">
        <v>66</v>
      </c>
      <c r="B33" s="2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4"/>
      <c r="N33" s="24"/>
      <c r="O33" s="24"/>
      <c r="P33" s="26"/>
    </row>
    <row r="34" spans="1:16" ht="13.5" customHeight="1">
      <c r="A34" s="218"/>
      <c r="B34" s="27" t="s">
        <v>67</v>
      </c>
      <c r="C34" s="28">
        <v>449624</v>
      </c>
      <c r="D34" s="28">
        <v>439673</v>
      </c>
      <c r="E34" s="28">
        <v>401908</v>
      </c>
      <c r="F34" s="28">
        <v>411620.84</v>
      </c>
      <c r="G34" s="28">
        <v>313871</v>
      </c>
      <c r="H34" s="28">
        <v>539556</v>
      </c>
      <c r="I34" s="28">
        <v>324007</v>
      </c>
      <c r="J34" s="28">
        <v>303190</v>
      </c>
      <c r="K34" s="28">
        <v>390467</v>
      </c>
      <c r="L34" s="28">
        <v>433715</v>
      </c>
      <c r="M34" s="17">
        <v>284466</v>
      </c>
      <c r="N34" s="17">
        <v>537973</v>
      </c>
      <c r="O34" s="17">
        <v>260528</v>
      </c>
      <c r="P34" s="18">
        <v>266602</v>
      </c>
    </row>
    <row r="35" spans="1:16" ht="13.5" customHeight="1">
      <c r="A35" s="218"/>
      <c r="B35" s="27" t="s">
        <v>68</v>
      </c>
      <c r="C35" s="28">
        <v>553131</v>
      </c>
      <c r="D35" s="28">
        <v>532754</v>
      </c>
      <c r="E35" s="28">
        <v>900749</v>
      </c>
      <c r="F35" s="28">
        <v>682284.3</v>
      </c>
      <c r="G35" s="28">
        <v>408959</v>
      </c>
      <c r="H35" s="28">
        <v>968233</v>
      </c>
      <c r="I35" s="28">
        <v>347435</v>
      </c>
      <c r="J35" s="28">
        <v>374390</v>
      </c>
      <c r="K35" s="28">
        <v>353712</v>
      </c>
      <c r="L35" s="28">
        <v>505549</v>
      </c>
      <c r="M35" s="17">
        <v>303176</v>
      </c>
      <c r="N35" s="17">
        <v>399778</v>
      </c>
      <c r="O35" s="17">
        <v>192612</v>
      </c>
      <c r="P35" s="18">
        <v>30567</v>
      </c>
    </row>
    <row r="36" spans="1:16" ht="13.5" customHeight="1">
      <c r="A36" s="218"/>
      <c r="B36" s="27" t="s">
        <v>69</v>
      </c>
      <c r="C36" s="28">
        <v>35086</v>
      </c>
      <c r="D36" s="28">
        <v>90505</v>
      </c>
      <c r="E36" s="28">
        <v>113334</v>
      </c>
      <c r="F36" s="28">
        <v>84924.36</v>
      </c>
      <c r="G36" s="28">
        <v>54846</v>
      </c>
      <c r="H36" s="28">
        <v>71465</v>
      </c>
      <c r="I36" s="28">
        <v>24637</v>
      </c>
      <c r="J36" s="28">
        <v>49862</v>
      </c>
      <c r="K36" s="28">
        <v>36154</v>
      </c>
      <c r="L36" s="28">
        <v>40446</v>
      </c>
      <c r="M36" s="17">
        <v>79282</v>
      </c>
      <c r="N36" s="17">
        <v>44394</v>
      </c>
      <c r="O36" s="17">
        <v>64185</v>
      </c>
      <c r="P36" s="18">
        <v>30507</v>
      </c>
    </row>
    <row r="37" spans="1:16" ht="13.5" customHeight="1">
      <c r="A37" s="218"/>
      <c r="B37" s="27" t="s">
        <v>70</v>
      </c>
      <c r="C37" s="28">
        <v>66801</v>
      </c>
      <c r="D37" s="28">
        <v>100570</v>
      </c>
      <c r="E37" s="28">
        <v>88066</v>
      </c>
      <c r="F37" s="28">
        <v>178962.1</v>
      </c>
      <c r="G37" s="28">
        <v>86920</v>
      </c>
      <c r="H37" s="28">
        <v>130285</v>
      </c>
      <c r="I37" s="28">
        <v>64744</v>
      </c>
      <c r="J37" s="28">
        <v>97232</v>
      </c>
      <c r="K37" s="28">
        <v>177973</v>
      </c>
      <c r="L37" s="28">
        <v>65643</v>
      </c>
      <c r="M37" s="17">
        <v>123638</v>
      </c>
      <c r="N37" s="17">
        <v>89641</v>
      </c>
      <c r="O37" s="17">
        <v>12231</v>
      </c>
      <c r="P37" s="18">
        <v>0</v>
      </c>
    </row>
    <row r="38" spans="1:16" ht="13.5" customHeight="1">
      <c r="A38" s="218"/>
      <c r="B38" s="27" t="s">
        <v>60</v>
      </c>
      <c r="C38" s="28">
        <v>12422</v>
      </c>
      <c r="D38" s="28">
        <v>14058</v>
      </c>
      <c r="E38" s="28">
        <v>52737</v>
      </c>
      <c r="F38" s="28">
        <v>48062.97</v>
      </c>
      <c r="G38" s="28">
        <v>10297</v>
      </c>
      <c r="H38" s="28">
        <v>12214</v>
      </c>
      <c r="I38" s="28">
        <v>7693</v>
      </c>
      <c r="J38" s="28">
        <v>15014</v>
      </c>
      <c r="K38" s="28">
        <v>56156</v>
      </c>
      <c r="L38" s="28">
        <v>33878</v>
      </c>
      <c r="M38" s="17">
        <v>184630</v>
      </c>
      <c r="N38" s="17">
        <v>133909</v>
      </c>
      <c r="O38" s="17">
        <v>207754</v>
      </c>
      <c r="P38" s="18">
        <v>0</v>
      </c>
    </row>
    <row r="39" spans="1:16" ht="13.5" customHeight="1">
      <c r="A39" s="218"/>
      <c r="B39" s="27" t="s">
        <v>71</v>
      </c>
      <c r="C39" s="28">
        <v>0</v>
      </c>
      <c r="D39" s="28">
        <v>39378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1445</v>
      </c>
      <c r="L39" s="28">
        <v>38014</v>
      </c>
      <c r="M39" s="17">
        <v>0</v>
      </c>
      <c r="N39" s="17">
        <v>226007</v>
      </c>
      <c r="O39" s="17">
        <v>132804</v>
      </c>
      <c r="P39" s="18">
        <v>0</v>
      </c>
    </row>
    <row r="40" spans="1:16" ht="13.5" customHeight="1">
      <c r="A40" s="218"/>
      <c r="B40" s="27" t="s">
        <v>72</v>
      </c>
      <c r="C40" s="28">
        <v>34004</v>
      </c>
      <c r="D40" s="28">
        <v>49356</v>
      </c>
      <c r="E40" s="28">
        <v>14622</v>
      </c>
      <c r="F40" s="28">
        <v>21472.49</v>
      </c>
      <c r="G40" s="28">
        <v>15890</v>
      </c>
      <c r="H40" s="28">
        <v>24783</v>
      </c>
      <c r="I40" s="28">
        <v>19850</v>
      </c>
      <c r="J40" s="28">
        <v>18763</v>
      </c>
      <c r="K40" s="28">
        <v>16515</v>
      </c>
      <c r="L40" s="28">
        <v>11215</v>
      </c>
      <c r="M40" s="17">
        <v>46634</v>
      </c>
      <c r="N40" s="17">
        <v>23862</v>
      </c>
      <c r="O40" s="17">
        <v>3242</v>
      </c>
      <c r="P40" s="18">
        <v>0</v>
      </c>
    </row>
    <row r="41" spans="1:16" ht="13.5" customHeight="1">
      <c r="A41" s="218"/>
      <c r="B41" s="27" t="s">
        <v>53</v>
      </c>
      <c r="C41" s="28">
        <v>88696</v>
      </c>
      <c r="D41" s="28">
        <v>101379</v>
      </c>
      <c r="E41" s="28">
        <v>65535</v>
      </c>
      <c r="F41" s="28">
        <v>35590.9</v>
      </c>
      <c r="G41" s="28">
        <v>29766</v>
      </c>
      <c r="H41" s="28">
        <v>65794</v>
      </c>
      <c r="I41" s="28">
        <v>34525</v>
      </c>
      <c r="J41" s="28">
        <v>30635</v>
      </c>
      <c r="K41" s="28">
        <v>61537</v>
      </c>
      <c r="L41" s="28">
        <v>34860</v>
      </c>
      <c r="M41" s="17">
        <v>79177</v>
      </c>
      <c r="N41" s="17">
        <v>43204</v>
      </c>
      <c r="O41" s="17">
        <v>3231</v>
      </c>
      <c r="P41" s="18">
        <v>0</v>
      </c>
    </row>
    <row r="42" spans="1:16" ht="13.5" customHeight="1">
      <c r="A42" s="218"/>
      <c r="B42" s="27" t="s">
        <v>54</v>
      </c>
      <c r="C42" s="28">
        <v>0</v>
      </c>
      <c r="D42" s="28">
        <v>0</v>
      </c>
      <c r="E42" s="28">
        <v>20614</v>
      </c>
      <c r="F42" s="28">
        <v>0</v>
      </c>
      <c r="G42" s="28">
        <v>0</v>
      </c>
      <c r="H42" s="28">
        <v>0</v>
      </c>
      <c r="I42" s="28">
        <v>5558</v>
      </c>
      <c r="J42" s="28">
        <v>0</v>
      </c>
      <c r="K42" s="28">
        <v>154518</v>
      </c>
      <c r="L42" s="28">
        <v>17471</v>
      </c>
      <c r="M42" s="17">
        <v>0</v>
      </c>
      <c r="N42" s="17">
        <v>5289</v>
      </c>
      <c r="O42" s="17">
        <v>0</v>
      </c>
      <c r="P42" s="18">
        <v>0</v>
      </c>
    </row>
    <row r="43" spans="1:16" ht="13.5" customHeight="1">
      <c r="A43" s="218"/>
      <c r="B43" s="27" t="s">
        <v>55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17">
        <v>545091</v>
      </c>
      <c r="N43" s="17">
        <v>0</v>
      </c>
      <c r="O43" s="17">
        <v>0</v>
      </c>
      <c r="P43" s="18">
        <v>0</v>
      </c>
    </row>
    <row r="44" spans="1:16" ht="13.5" customHeight="1">
      <c r="A44" s="218"/>
      <c r="B44" s="27" t="s">
        <v>56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18806</v>
      </c>
      <c r="J44" s="28">
        <v>0</v>
      </c>
      <c r="K44" s="28">
        <v>0</v>
      </c>
      <c r="L44" s="28">
        <v>0</v>
      </c>
      <c r="M44" s="17">
        <v>0</v>
      </c>
      <c r="N44" s="17">
        <v>0</v>
      </c>
      <c r="O44" s="17">
        <v>0</v>
      </c>
      <c r="P44" s="18">
        <v>0</v>
      </c>
    </row>
    <row r="45" spans="1:16" ht="13.5" customHeight="1">
      <c r="A45" s="218"/>
      <c r="B45" s="27" t="s">
        <v>73</v>
      </c>
      <c r="C45" s="28">
        <v>167583</v>
      </c>
      <c r="D45" s="28">
        <v>515051</v>
      </c>
      <c r="E45" s="28">
        <v>137433</v>
      </c>
      <c r="F45" s="28">
        <v>408812.26</v>
      </c>
      <c r="G45" s="28">
        <v>83848</v>
      </c>
      <c r="H45" s="28">
        <v>353764</v>
      </c>
      <c r="I45" s="28">
        <v>71036</v>
      </c>
      <c r="J45" s="28">
        <v>125317</v>
      </c>
      <c r="K45" s="28">
        <v>0</v>
      </c>
      <c r="L45" s="28">
        <v>97341</v>
      </c>
      <c r="M45" s="17">
        <v>84889</v>
      </c>
      <c r="N45" s="17">
        <v>145885</v>
      </c>
      <c r="O45" s="17">
        <v>173735</v>
      </c>
      <c r="P45" s="18">
        <v>0</v>
      </c>
    </row>
    <row r="46" spans="1:16" ht="13.5" customHeight="1">
      <c r="A46" s="218"/>
      <c r="B46" s="27" t="s">
        <v>58</v>
      </c>
      <c r="C46" s="28">
        <v>0</v>
      </c>
      <c r="D46" s="28">
        <v>5984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17">
        <v>0</v>
      </c>
      <c r="N46" s="17">
        <v>0</v>
      </c>
      <c r="O46" s="17">
        <v>74517</v>
      </c>
      <c r="P46" s="18">
        <v>0</v>
      </c>
    </row>
    <row r="47" spans="1:16" ht="13.5" customHeight="1">
      <c r="A47" s="218"/>
      <c r="B47" s="27" t="s">
        <v>74</v>
      </c>
      <c r="C47" s="28">
        <v>0</v>
      </c>
      <c r="D47" s="28">
        <v>0</v>
      </c>
      <c r="E47" s="28">
        <v>51720</v>
      </c>
      <c r="F47" s="28">
        <v>0</v>
      </c>
      <c r="G47" s="28">
        <v>116761</v>
      </c>
      <c r="H47" s="28">
        <v>0</v>
      </c>
      <c r="I47" s="28">
        <v>0</v>
      </c>
      <c r="J47" s="28">
        <v>0</v>
      </c>
      <c r="K47" s="28">
        <v>897</v>
      </c>
      <c r="L47" s="28">
        <v>19085</v>
      </c>
      <c r="M47" s="17">
        <v>6242</v>
      </c>
      <c r="N47" s="17">
        <v>0</v>
      </c>
      <c r="O47" s="17">
        <v>142318</v>
      </c>
      <c r="P47" s="18">
        <v>0</v>
      </c>
    </row>
    <row r="48" spans="1:16" ht="13.5" customHeight="1">
      <c r="A48" s="218"/>
      <c r="B48" s="27" t="s">
        <v>75</v>
      </c>
      <c r="C48" s="28">
        <v>43258</v>
      </c>
      <c r="D48" s="28">
        <v>5270</v>
      </c>
      <c r="E48" s="28">
        <v>11252</v>
      </c>
      <c r="F48" s="28">
        <v>38091.199999999997</v>
      </c>
      <c r="G48" s="28">
        <v>469</v>
      </c>
      <c r="H48" s="28">
        <v>16358</v>
      </c>
      <c r="I48" s="28">
        <v>0</v>
      </c>
      <c r="J48" s="28">
        <v>19180</v>
      </c>
      <c r="K48" s="28">
        <v>0</v>
      </c>
      <c r="L48" s="28">
        <v>0</v>
      </c>
      <c r="M48" s="17">
        <v>0</v>
      </c>
      <c r="N48" s="17">
        <v>1348</v>
      </c>
      <c r="O48" s="17">
        <v>17408.47</v>
      </c>
      <c r="P48" s="18">
        <v>0</v>
      </c>
    </row>
    <row r="49" spans="1:16" ht="13.5" customHeight="1">
      <c r="A49" s="218"/>
      <c r="B49" s="27" t="s">
        <v>76</v>
      </c>
      <c r="C49" s="28">
        <v>5173</v>
      </c>
      <c r="D49" s="28">
        <v>-3148</v>
      </c>
      <c r="E49" s="28">
        <v>5427</v>
      </c>
      <c r="F49" s="28">
        <v>1523.34</v>
      </c>
      <c r="G49" s="28">
        <v>83</v>
      </c>
      <c r="H49" s="28">
        <v>32</v>
      </c>
      <c r="I49" s="28">
        <v>3188</v>
      </c>
      <c r="J49" s="28">
        <v>0</v>
      </c>
      <c r="K49" s="28">
        <v>3011</v>
      </c>
      <c r="L49" s="28">
        <v>-1243</v>
      </c>
      <c r="M49" s="17">
        <v>4148</v>
      </c>
      <c r="N49" s="17">
        <v>3811</v>
      </c>
      <c r="O49" s="17">
        <v>74.37</v>
      </c>
      <c r="P49" s="18">
        <v>0</v>
      </c>
    </row>
    <row r="50" spans="1:16" ht="13.5" customHeight="1">
      <c r="A50" s="218"/>
      <c r="B50" s="27" t="s">
        <v>77</v>
      </c>
      <c r="C50" s="28">
        <v>483</v>
      </c>
      <c r="D50" s="28">
        <v>3388</v>
      </c>
      <c r="E50" s="28">
        <v>-23</v>
      </c>
      <c r="F50" s="28">
        <v>35.200000000000003</v>
      </c>
      <c r="G50" s="28">
        <v>-100</v>
      </c>
      <c r="H50" s="28">
        <v>303</v>
      </c>
      <c r="I50" s="28">
        <v>0</v>
      </c>
      <c r="J50" s="28">
        <v>644</v>
      </c>
      <c r="K50" s="28">
        <v>372</v>
      </c>
      <c r="L50" s="28">
        <v>95</v>
      </c>
      <c r="M50" s="17">
        <v>-1553</v>
      </c>
      <c r="N50" s="17">
        <v>479</v>
      </c>
      <c r="O50" s="17">
        <v>-1408.69</v>
      </c>
      <c r="P50" s="18">
        <v>0</v>
      </c>
    </row>
    <row r="51" spans="1:16" ht="13.5" customHeight="1">
      <c r="A51" s="218"/>
      <c r="B51" s="27" t="s">
        <v>78</v>
      </c>
      <c r="C51" s="28">
        <v>0</v>
      </c>
      <c r="D51" s="28">
        <v>0</v>
      </c>
      <c r="E51" s="28">
        <v>0</v>
      </c>
      <c r="F51" s="28">
        <v>40962.839999999997</v>
      </c>
      <c r="G51" s="28">
        <v>0</v>
      </c>
      <c r="H51" s="28">
        <v>0</v>
      </c>
      <c r="I51" s="28">
        <v>1647</v>
      </c>
      <c r="J51" s="28">
        <v>0</v>
      </c>
      <c r="K51" s="28">
        <v>0</v>
      </c>
      <c r="L51" s="28">
        <v>0</v>
      </c>
      <c r="M51" s="17">
        <v>0</v>
      </c>
      <c r="N51" s="17">
        <v>1077</v>
      </c>
      <c r="O51" s="17">
        <v>11835.15</v>
      </c>
      <c r="P51" s="18">
        <v>6975873</v>
      </c>
    </row>
    <row r="52" spans="1:16" s="20" customFormat="1" ht="13.5" customHeight="1" thickBot="1">
      <c r="A52" s="214" t="s">
        <v>79</v>
      </c>
      <c r="B52" s="30"/>
      <c r="C52" s="32">
        <f t="shared" ref="C52" si="4">SUM(C34:C51)</f>
        <v>1456261</v>
      </c>
      <c r="D52" s="31">
        <f t="shared" ref="D52:N52" si="5">SUM(D34:D51)</f>
        <v>1894218</v>
      </c>
      <c r="E52" s="31">
        <f t="shared" si="5"/>
        <v>1863374</v>
      </c>
      <c r="F52" s="31">
        <f t="shared" si="5"/>
        <v>1952342.8000000003</v>
      </c>
      <c r="G52" s="31">
        <f t="shared" si="5"/>
        <v>1121610</v>
      </c>
      <c r="H52" s="31">
        <f t="shared" si="5"/>
        <v>2182787</v>
      </c>
      <c r="I52" s="31">
        <f t="shared" si="5"/>
        <v>923126</v>
      </c>
      <c r="J52" s="31">
        <f t="shared" si="5"/>
        <v>1034227</v>
      </c>
      <c r="K52" s="31">
        <f t="shared" si="5"/>
        <v>1252757</v>
      </c>
      <c r="L52" s="31">
        <f t="shared" si="5"/>
        <v>1296069</v>
      </c>
      <c r="M52" s="31">
        <f t="shared" si="5"/>
        <v>1739820</v>
      </c>
      <c r="N52" s="31">
        <f t="shared" si="5"/>
        <v>1656657</v>
      </c>
      <c r="O52" s="31">
        <f t="shared" ref="O52" si="6">SUM(O34:O51)</f>
        <v>1295066.3</v>
      </c>
      <c r="P52" s="31">
        <f t="shared" ref="P52" si="7">SUM(P34:P51)</f>
        <v>7303549</v>
      </c>
    </row>
    <row r="53" spans="1:16" ht="13.5" customHeight="1">
      <c r="A53" s="217" t="s">
        <v>80</v>
      </c>
      <c r="B53" s="23"/>
      <c r="C53" s="15"/>
      <c r="D53" s="29"/>
      <c r="E53" s="29"/>
      <c r="F53" s="29"/>
      <c r="G53" s="29"/>
      <c r="H53" s="29"/>
      <c r="I53" s="29"/>
      <c r="J53" s="29"/>
      <c r="K53" s="29"/>
      <c r="L53" s="29"/>
      <c r="M53" s="15"/>
      <c r="N53" s="15"/>
      <c r="O53" s="15"/>
      <c r="P53" s="71"/>
    </row>
    <row r="54" spans="1:16" s="20" customFormat="1" ht="13.5" customHeight="1">
      <c r="A54" s="215"/>
      <c r="B54" s="21" t="s">
        <v>81</v>
      </c>
      <c r="C54" s="22">
        <v>211112</v>
      </c>
      <c r="D54" s="22">
        <v>73247</v>
      </c>
      <c r="E54" s="22">
        <v>125733</v>
      </c>
      <c r="F54" s="22">
        <v>255951.23</v>
      </c>
      <c r="G54" s="22">
        <v>100306</v>
      </c>
      <c r="H54" s="22">
        <v>144181</v>
      </c>
      <c r="I54" s="22">
        <v>159646</v>
      </c>
      <c r="J54" s="22">
        <v>48258</v>
      </c>
      <c r="K54" s="22">
        <v>71307</v>
      </c>
      <c r="L54" s="22">
        <v>112034</v>
      </c>
      <c r="M54" s="22">
        <v>79454</v>
      </c>
      <c r="N54" s="22">
        <v>325002</v>
      </c>
      <c r="O54" s="22">
        <v>114253</v>
      </c>
      <c r="P54" s="22">
        <v>2738</v>
      </c>
    </row>
    <row r="55" spans="1:16" s="20" customFormat="1" ht="13.5" customHeight="1">
      <c r="A55" s="219"/>
      <c r="B55" s="33" t="s">
        <v>199</v>
      </c>
      <c r="C55" s="22">
        <v>26641</v>
      </c>
      <c r="D55" s="39">
        <v>-85934</v>
      </c>
      <c r="E55" s="39">
        <v>195381</v>
      </c>
      <c r="F55" s="39">
        <v>113844.83</v>
      </c>
      <c r="G55" s="39">
        <v>-225483</v>
      </c>
      <c r="H55" s="39">
        <v>60044</v>
      </c>
      <c r="I55" s="39">
        <v>0</v>
      </c>
      <c r="J55" s="39">
        <v>226011</v>
      </c>
      <c r="K55" s="39">
        <v>-31620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</row>
    <row r="56" spans="1:16" s="20" customFormat="1" ht="13.5" customHeight="1">
      <c r="A56" s="192" t="s">
        <v>200</v>
      </c>
      <c r="B56" s="33"/>
      <c r="C56" s="22">
        <f t="shared" ref="C56:F56" si="8">+C32-C52</f>
        <v>256027</v>
      </c>
      <c r="D56" s="22">
        <f t="shared" si="8"/>
        <v>-64798</v>
      </c>
      <c r="E56" s="22">
        <f t="shared" si="8"/>
        <v>37986</v>
      </c>
      <c r="F56" s="22">
        <f t="shared" si="8"/>
        <v>881006.07999999961</v>
      </c>
      <c r="G56" s="22">
        <f t="shared" ref="G56" si="9">+G32-G52</f>
        <v>-75949</v>
      </c>
      <c r="H56" s="22">
        <f t="shared" ref="H56:N56" si="10">+H32-H52</f>
        <v>-53021</v>
      </c>
      <c r="I56" s="22">
        <f t="shared" si="10"/>
        <v>-169283</v>
      </c>
      <c r="J56" s="22">
        <f t="shared" si="10"/>
        <v>170555</v>
      </c>
      <c r="K56" s="22">
        <f t="shared" si="10"/>
        <v>148836</v>
      </c>
      <c r="L56" s="22">
        <f t="shared" si="10"/>
        <v>-33961</v>
      </c>
      <c r="M56" s="22">
        <f t="shared" si="10"/>
        <v>95587</v>
      </c>
      <c r="N56" s="22">
        <f t="shared" si="10"/>
        <v>57371</v>
      </c>
      <c r="O56" s="22">
        <f t="shared" ref="O56:P56" si="11">+O32-O52</f>
        <v>89539.699999999953</v>
      </c>
      <c r="P56" s="22">
        <f t="shared" si="11"/>
        <v>-7100543</v>
      </c>
    </row>
    <row r="57" spans="1:16" s="20" customFormat="1" ht="13.5" customHeight="1">
      <c r="A57" s="192" t="s">
        <v>201</v>
      </c>
      <c r="B57" s="33"/>
      <c r="C57" s="22">
        <f>+C32-C52-C54-C55</f>
        <v>18274</v>
      </c>
      <c r="D57" s="22">
        <f t="shared" ref="D57:F57" si="12">+D32-D52-D54-D55</f>
        <v>-52111</v>
      </c>
      <c r="E57" s="22">
        <f t="shared" si="12"/>
        <v>-283128</v>
      </c>
      <c r="F57" s="22">
        <f t="shared" si="12"/>
        <v>511210.01999999961</v>
      </c>
      <c r="G57" s="22">
        <f t="shared" ref="G57" si="13">+G32-G52-G54-G55</f>
        <v>49228</v>
      </c>
      <c r="H57" s="22">
        <f t="shared" ref="H57:N57" si="14">+H32-H52-H54-H55</f>
        <v>-257246</v>
      </c>
      <c r="I57" s="22">
        <f t="shared" si="14"/>
        <v>-328929</v>
      </c>
      <c r="J57" s="22">
        <f t="shared" si="14"/>
        <v>-103714</v>
      </c>
      <c r="K57" s="22">
        <f t="shared" si="14"/>
        <v>109149</v>
      </c>
      <c r="L57" s="22">
        <f t="shared" si="14"/>
        <v>-145995</v>
      </c>
      <c r="M57" s="22">
        <f t="shared" si="14"/>
        <v>16133</v>
      </c>
      <c r="N57" s="22">
        <f t="shared" si="14"/>
        <v>-267631</v>
      </c>
      <c r="O57" s="22">
        <f t="shared" ref="O57:P57" si="15">+O32-O52-O54-O55</f>
        <v>-24713.300000000047</v>
      </c>
      <c r="P57" s="22">
        <f t="shared" si="15"/>
        <v>-7103281</v>
      </c>
    </row>
    <row r="58" spans="1:16" s="20" customFormat="1" ht="13.5" customHeight="1">
      <c r="A58" s="192" t="s">
        <v>202</v>
      </c>
      <c r="B58" s="33"/>
      <c r="C58" s="22">
        <f t="shared" ref="C58:F58" si="16">+C12+C13+C14+C32+-C52</f>
        <v>302541</v>
      </c>
      <c r="D58" s="22">
        <f t="shared" si="16"/>
        <v>-24189</v>
      </c>
      <c r="E58" s="22">
        <f t="shared" si="16"/>
        <v>221157</v>
      </c>
      <c r="F58" s="22">
        <f t="shared" si="16"/>
        <v>922841.11999999965</v>
      </c>
      <c r="G58" s="22">
        <f t="shared" ref="G58" si="17">+G12+G13+G14+G32+-G52</f>
        <v>-35340</v>
      </c>
      <c r="H58" s="22">
        <f t="shared" ref="H58:N58" si="18">+H12+H13+H14+H32+-H52</f>
        <v>893463</v>
      </c>
      <c r="I58" s="22">
        <f t="shared" si="18"/>
        <v>-131093</v>
      </c>
      <c r="J58" s="22">
        <f t="shared" si="18"/>
        <v>211164</v>
      </c>
      <c r="K58" s="22">
        <f t="shared" si="18"/>
        <v>189445</v>
      </c>
      <c r="L58" s="22">
        <f t="shared" si="18"/>
        <v>6648</v>
      </c>
      <c r="M58" s="22">
        <f t="shared" si="18"/>
        <v>133777</v>
      </c>
      <c r="N58" s="22">
        <f t="shared" si="18"/>
        <v>97980</v>
      </c>
      <c r="O58" s="22">
        <f t="shared" ref="O58:P58" si="19">+O12+O13+O14+O32+-O52</f>
        <v>237750.69999999995</v>
      </c>
      <c r="P58" s="22">
        <f t="shared" si="19"/>
        <v>-167671</v>
      </c>
    </row>
    <row r="59" spans="1:16" s="20" customFormat="1" ht="13.5" customHeight="1">
      <c r="A59" s="192" t="s">
        <v>203</v>
      </c>
      <c r="B59" s="33"/>
      <c r="C59" s="22">
        <f>+C12+C13+C14+C32-C52-C54-C55</f>
        <v>64788</v>
      </c>
      <c r="D59" s="22">
        <f t="shared" ref="D59:F59" si="20">+D12+D13+D14+D32-D52-D54-D55</f>
        <v>-11502</v>
      </c>
      <c r="E59" s="22">
        <f t="shared" si="20"/>
        <v>-99957</v>
      </c>
      <c r="F59" s="22">
        <f t="shared" si="20"/>
        <v>553045.05999999971</v>
      </c>
      <c r="G59" s="22">
        <f t="shared" ref="G59" si="21">+G12+G13+G14+G32-G52-G54-G55</f>
        <v>89837</v>
      </c>
      <c r="H59" s="22">
        <f t="shared" ref="H59:N59" si="22">+H12+H13+H14+H32-H52-H54-H55</f>
        <v>689238</v>
      </c>
      <c r="I59" s="22">
        <f t="shared" si="22"/>
        <v>-290739</v>
      </c>
      <c r="J59" s="22">
        <f t="shared" si="22"/>
        <v>-63105</v>
      </c>
      <c r="K59" s="22">
        <f t="shared" si="22"/>
        <v>149758</v>
      </c>
      <c r="L59" s="22">
        <f t="shared" si="22"/>
        <v>-105386</v>
      </c>
      <c r="M59" s="22">
        <f t="shared" si="22"/>
        <v>54323</v>
      </c>
      <c r="N59" s="22">
        <f t="shared" si="22"/>
        <v>-227022</v>
      </c>
      <c r="O59" s="22">
        <f t="shared" ref="O59:P59" si="23">+O12+O13+O14+O32-O52-O54-O55</f>
        <v>123497.69999999995</v>
      </c>
      <c r="P59" s="22">
        <f t="shared" si="23"/>
        <v>-170409</v>
      </c>
    </row>
    <row r="60" spans="1:16" ht="13.5" customHeight="1">
      <c r="A60" s="213" t="s">
        <v>219</v>
      </c>
      <c r="B60" s="11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4"/>
      <c r="N60" s="34"/>
      <c r="O60" s="34"/>
      <c r="P60" s="35"/>
    </row>
    <row r="61" spans="1:16" ht="13.5" customHeight="1">
      <c r="A61" s="217"/>
      <c r="B61" s="23" t="s">
        <v>39</v>
      </c>
      <c r="C61" s="29">
        <v>686640</v>
      </c>
      <c r="D61" s="29">
        <v>1581653</v>
      </c>
      <c r="E61" s="16">
        <v>238264</v>
      </c>
      <c r="F61" s="16">
        <v>3244972.71</v>
      </c>
      <c r="G61" s="16">
        <v>-96137</v>
      </c>
      <c r="H61" s="16">
        <v>260747</v>
      </c>
      <c r="I61" s="15">
        <v>49897</v>
      </c>
      <c r="J61" s="29">
        <v>654741</v>
      </c>
      <c r="K61" s="15">
        <v>1225381</v>
      </c>
      <c r="L61" s="16">
        <v>454754</v>
      </c>
      <c r="M61" s="15">
        <v>235619</v>
      </c>
      <c r="N61" s="15">
        <v>1074423</v>
      </c>
      <c r="O61" s="15">
        <v>269250</v>
      </c>
      <c r="P61" s="16">
        <v>-205341</v>
      </c>
    </row>
    <row r="62" spans="1:16" ht="13.5" customHeight="1">
      <c r="A62" s="217"/>
      <c r="B62" s="23" t="s">
        <v>212</v>
      </c>
      <c r="C62" s="29">
        <v>-520647</v>
      </c>
      <c r="D62" s="29">
        <v>-400718</v>
      </c>
      <c r="E62" s="16">
        <v>-424281</v>
      </c>
      <c r="F62" s="16">
        <v>-557045.88</v>
      </c>
      <c r="G62" s="16">
        <v>-327636</v>
      </c>
      <c r="H62" s="16">
        <v>-622300</v>
      </c>
      <c r="I62" s="15">
        <v>-517658</v>
      </c>
      <c r="J62" s="29">
        <v>-489940</v>
      </c>
      <c r="K62" s="15">
        <v>-384225</v>
      </c>
      <c r="L62" s="16">
        <v>0</v>
      </c>
      <c r="M62" s="15">
        <v>0</v>
      </c>
      <c r="N62" s="15">
        <v>0</v>
      </c>
      <c r="O62" s="15">
        <v>-297653</v>
      </c>
      <c r="P62" s="16">
        <v>0</v>
      </c>
    </row>
    <row r="63" spans="1:16" ht="13.5" customHeight="1">
      <c r="A63" s="217"/>
      <c r="B63" s="23" t="s">
        <v>40</v>
      </c>
      <c r="C63" s="29">
        <v>0</v>
      </c>
      <c r="D63" s="29">
        <v>0</v>
      </c>
      <c r="E63" s="16">
        <v>0</v>
      </c>
      <c r="F63" s="16">
        <v>0</v>
      </c>
      <c r="G63" s="16">
        <v>0</v>
      </c>
      <c r="H63" s="16">
        <v>0</v>
      </c>
      <c r="I63" s="15">
        <v>0</v>
      </c>
      <c r="J63" s="29">
        <v>0</v>
      </c>
      <c r="K63" s="15">
        <v>0</v>
      </c>
      <c r="L63" s="16">
        <v>0</v>
      </c>
      <c r="M63" s="15">
        <v>0</v>
      </c>
      <c r="N63" s="15">
        <v>0</v>
      </c>
      <c r="O63" s="15">
        <v>31786</v>
      </c>
      <c r="P63" s="16">
        <v>0</v>
      </c>
    </row>
    <row r="64" spans="1:16" s="37" customFormat="1" ht="13.5" customHeight="1">
      <c r="A64" s="217"/>
      <c r="B64" s="23" t="s">
        <v>41</v>
      </c>
      <c r="C64" s="29">
        <v>2822497</v>
      </c>
      <c r="D64" s="29">
        <v>907548</v>
      </c>
      <c r="E64" s="16">
        <v>1979355</v>
      </c>
      <c r="F64" s="16">
        <v>5745288.2300000004</v>
      </c>
      <c r="G64" s="16">
        <v>1683485</v>
      </c>
      <c r="H64" s="16">
        <v>3324307</v>
      </c>
      <c r="I64" s="15">
        <v>2450749</v>
      </c>
      <c r="J64" s="29">
        <v>786016</v>
      </c>
      <c r="K64" s="15">
        <v>1269025</v>
      </c>
      <c r="L64" s="16">
        <v>1414384</v>
      </c>
      <c r="M64" s="15">
        <v>1073136</v>
      </c>
      <c r="N64" s="15">
        <v>5534965</v>
      </c>
      <c r="O64" s="15">
        <v>1267129</v>
      </c>
      <c r="P64" s="16">
        <v>454017</v>
      </c>
    </row>
    <row r="65" spans="1:16" s="20" customFormat="1" ht="13.5" customHeight="1">
      <c r="A65" s="192"/>
      <c r="B65" s="38" t="s">
        <v>43</v>
      </c>
      <c r="C65" s="52">
        <f t="shared" ref="C65:N65" si="24">SUM(C61:C64)</f>
        <v>2988490</v>
      </c>
      <c r="D65" s="52">
        <f t="shared" si="24"/>
        <v>2088483</v>
      </c>
      <c r="E65" s="52">
        <f t="shared" si="24"/>
        <v>1793338</v>
      </c>
      <c r="F65" s="52">
        <f t="shared" si="24"/>
        <v>8433215.0600000005</v>
      </c>
      <c r="G65" s="52">
        <f t="shared" ref="G65" si="25">SUM(G61:G64)</f>
        <v>1259712</v>
      </c>
      <c r="H65" s="52">
        <f t="shared" si="24"/>
        <v>2962754</v>
      </c>
      <c r="I65" s="52">
        <f t="shared" si="24"/>
        <v>1982988</v>
      </c>
      <c r="J65" s="52">
        <f t="shared" si="24"/>
        <v>950817</v>
      </c>
      <c r="K65" s="52">
        <f t="shared" si="24"/>
        <v>2110181</v>
      </c>
      <c r="L65" s="52">
        <f t="shared" si="24"/>
        <v>1869138</v>
      </c>
      <c r="M65" s="52">
        <f t="shared" si="24"/>
        <v>1308755</v>
      </c>
      <c r="N65" s="52">
        <f t="shared" si="24"/>
        <v>6609388</v>
      </c>
      <c r="O65" s="52">
        <f t="shared" ref="O65:P65" si="26">SUM(O61:O64)</f>
        <v>1270512</v>
      </c>
      <c r="P65" s="52">
        <f t="shared" si="26"/>
        <v>248676</v>
      </c>
    </row>
    <row r="66" spans="1:16" s="158" customFormat="1" ht="13.5" customHeight="1">
      <c r="A66" s="227" t="s">
        <v>82</v>
      </c>
      <c r="B66" s="227"/>
      <c r="C66" s="231">
        <f>C61/(C52)</f>
        <v>0.47150888473975477</v>
      </c>
      <c r="D66" s="231">
        <f t="shared" ref="D66:N66" si="27">D61/(D52)</f>
        <v>0.83498995363786011</v>
      </c>
      <c r="E66" s="231">
        <f t="shared" si="27"/>
        <v>0.12786697678512204</v>
      </c>
      <c r="F66" s="231">
        <f t="shared" si="27"/>
        <v>1.6620916726304416</v>
      </c>
      <c r="G66" s="231">
        <f t="shared" ref="G66" si="28">G61/(G52)</f>
        <v>-8.5713394138782636E-2</v>
      </c>
      <c r="H66" s="231">
        <f>H61/(H52)</f>
        <v>0.119455998226121</v>
      </c>
      <c r="I66" s="231">
        <f t="shared" si="27"/>
        <v>5.405220955752519E-2</v>
      </c>
      <c r="J66" s="231">
        <f t="shared" si="27"/>
        <v>0.63307281670271609</v>
      </c>
      <c r="K66" s="231">
        <f t="shared" si="27"/>
        <v>0.9781473980987534</v>
      </c>
      <c r="L66" s="231">
        <f t="shared" si="27"/>
        <v>0.35087175142681448</v>
      </c>
      <c r="M66" s="231">
        <f t="shared" si="27"/>
        <v>0.13542722810405675</v>
      </c>
      <c r="N66" s="231">
        <f t="shared" si="27"/>
        <v>0.64854885471162704</v>
      </c>
      <c r="O66" s="231">
        <f t="shared" ref="O66:P66" si="29">O61/(O52)</f>
        <v>0.20790441385124453</v>
      </c>
      <c r="P66" s="231">
        <f t="shared" si="29"/>
        <v>-2.8115235483461534E-2</v>
      </c>
    </row>
    <row r="67" spans="1:16" s="88" customFormat="1" ht="12.75" hidden="1" customHeight="1">
      <c r="A67" s="62"/>
      <c r="B67" s="157" t="s">
        <v>83</v>
      </c>
      <c r="C67" s="43">
        <f>+C10+C12+C13+C14+C32-C52-C54-C65-C55</f>
        <v>0</v>
      </c>
      <c r="D67" s="43">
        <f t="shared" ref="D67:P67" si="30">+D10+D12+D13+D14+D32-D52-D54-D65-D55</f>
        <v>0.74000000022351742</v>
      </c>
      <c r="E67" s="43">
        <f t="shared" si="30"/>
        <v>0</v>
      </c>
      <c r="F67" s="43">
        <f t="shared" si="30"/>
        <v>0.49999999821011443</v>
      </c>
      <c r="G67" s="43">
        <f t="shared" si="30"/>
        <v>-3</v>
      </c>
      <c r="H67" s="43">
        <f t="shared" si="30"/>
        <v>0</v>
      </c>
      <c r="I67" s="43">
        <f t="shared" si="30"/>
        <v>0</v>
      </c>
      <c r="J67" s="43">
        <f t="shared" si="30"/>
        <v>1</v>
      </c>
      <c r="K67" s="43">
        <f t="shared" si="30"/>
        <v>-1</v>
      </c>
      <c r="L67" s="43">
        <f t="shared" si="30"/>
        <v>7</v>
      </c>
      <c r="M67" s="43">
        <f t="shared" si="30"/>
        <v>-1</v>
      </c>
      <c r="N67" s="43">
        <f t="shared" si="30"/>
        <v>1</v>
      </c>
      <c r="O67" s="43">
        <f t="shared" si="30"/>
        <v>-1.3000000000465661</v>
      </c>
      <c r="P67" s="62">
        <f t="shared" si="30"/>
        <v>0</v>
      </c>
    </row>
    <row r="68" spans="1:16" s="74" customFormat="1" ht="12.75" hidden="1" customHeight="1">
      <c r="A68" s="110"/>
      <c r="B68" s="111"/>
      <c r="C68" s="103">
        <f t="shared" ref="C68:P68" si="31">+C10+C59-C65</f>
        <v>0</v>
      </c>
      <c r="D68" s="103">
        <f t="shared" si="31"/>
        <v>0.74000000022351742</v>
      </c>
      <c r="E68" s="73">
        <f t="shared" si="31"/>
        <v>0</v>
      </c>
      <c r="F68" s="73">
        <f t="shared" si="31"/>
        <v>0.5</v>
      </c>
      <c r="G68" s="73">
        <f t="shared" si="31"/>
        <v>-3</v>
      </c>
      <c r="H68" s="73">
        <f>+H10+H59-H65</f>
        <v>0</v>
      </c>
      <c r="I68" s="73">
        <f t="shared" si="31"/>
        <v>0</v>
      </c>
      <c r="J68" s="73">
        <f t="shared" si="31"/>
        <v>1</v>
      </c>
      <c r="K68" s="73">
        <f t="shared" si="31"/>
        <v>-1</v>
      </c>
      <c r="L68" s="73">
        <f t="shared" si="31"/>
        <v>7</v>
      </c>
      <c r="M68" s="73">
        <f t="shared" si="31"/>
        <v>-1</v>
      </c>
      <c r="N68" s="73">
        <f t="shared" si="31"/>
        <v>1</v>
      </c>
      <c r="O68" s="73">
        <f t="shared" si="31"/>
        <v>-1.3000000000465661</v>
      </c>
      <c r="P68" s="73">
        <f t="shared" si="31"/>
        <v>0</v>
      </c>
    </row>
    <row r="69" spans="1:16" s="74" customFormat="1" ht="13.5" customHeight="1">
      <c r="A69" s="110"/>
      <c r="B69" s="111"/>
      <c r="C69" s="103"/>
      <c r="D69" s="10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</row>
    <row r="70" spans="1:16" s="37" customFormat="1" ht="13.5" customHeight="1">
      <c r="A70" s="140" t="s">
        <v>193</v>
      </c>
      <c r="B70" s="98"/>
      <c r="C70" s="98"/>
      <c r="D70" s="9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73"/>
    </row>
    <row r="71" spans="1:16" s="37" customFormat="1" ht="13.5" customHeight="1">
      <c r="A71" s="137" t="s">
        <v>194</v>
      </c>
      <c r="B71" s="98"/>
      <c r="C71" s="98"/>
      <c r="D71" s="9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44"/>
    </row>
    <row r="72" spans="1:16" s="37" customFormat="1" ht="13.5" customHeight="1">
      <c r="A72" s="138" t="s">
        <v>84</v>
      </c>
      <c r="B72" s="98"/>
      <c r="C72" s="98"/>
      <c r="D72" s="9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44"/>
    </row>
    <row r="73" spans="1:16" s="37" customFormat="1" ht="13.5" customHeight="1">
      <c r="A73" s="139"/>
      <c r="B73" s="48"/>
      <c r="C73" s="48"/>
      <c r="D73" s="4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44"/>
    </row>
    <row r="74" spans="1:16" s="37" customFormat="1" ht="13.5" customHeight="1">
      <c r="A74" s="137" t="s">
        <v>195</v>
      </c>
      <c r="B74" s="98"/>
      <c r="C74" s="98"/>
      <c r="D74" s="9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44"/>
    </row>
    <row r="75" spans="1:16" s="37" customFormat="1" ht="13.5" customHeight="1">
      <c r="A75" s="137" t="s">
        <v>85</v>
      </c>
      <c r="B75" s="98"/>
      <c r="C75" s="98"/>
      <c r="D75" s="9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44"/>
    </row>
    <row r="76" spans="1:16" ht="12.75" customHeight="1">
      <c r="A76" s="137" t="s">
        <v>86</v>
      </c>
      <c r="B76" s="6"/>
      <c r="C76" s="106"/>
      <c r="D76" s="106"/>
      <c r="E76" s="44"/>
      <c r="F76" s="44"/>
      <c r="G76" s="44"/>
      <c r="H76" s="44"/>
      <c r="I76" s="44"/>
      <c r="J76" s="44"/>
      <c r="K76" s="44"/>
      <c r="L76" s="44"/>
      <c r="M76" s="44"/>
    </row>
    <row r="77" spans="1:16">
      <c r="A77" s="107"/>
      <c r="B77" s="107"/>
      <c r="C77" s="107"/>
      <c r="D77" s="107"/>
      <c r="E77" s="44"/>
      <c r="F77" s="44"/>
      <c r="G77" s="44"/>
      <c r="H77" s="44"/>
      <c r="I77" s="44"/>
      <c r="J77" s="44"/>
      <c r="K77" s="44"/>
      <c r="L77" s="44"/>
      <c r="M77" s="44"/>
      <c r="N77" s="47"/>
    </row>
    <row r="78" spans="1:16">
      <c r="A78" s="274"/>
      <c r="B78" s="275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</row>
    <row r="79" spans="1:16" ht="72.75" customHeight="1">
      <c r="A79" s="276"/>
      <c r="B79" s="277"/>
      <c r="C79" s="207" t="str">
        <f t="shared" ref="C79:P79" si="32">C2</f>
        <v>3rd DAA,     Silver Dollar Fair</v>
      </c>
      <c r="D79" s="207" t="str">
        <f t="shared" si="32"/>
        <v>4th DAA, Sonoma Marin Fair</v>
      </c>
      <c r="E79" s="207" t="str">
        <f t="shared" si="32"/>
        <v>14th DAA,     Santa Cruz County Fair</v>
      </c>
      <c r="F79" s="207" t="str">
        <f t="shared" si="32"/>
        <v>21-A DAA, Madera District Fair</v>
      </c>
      <c r="G79" s="207" t="str">
        <f t="shared" si="32"/>
        <v>23rd DAA, Contra Costa County Fair</v>
      </c>
      <c r="H79" s="207" t="str">
        <f t="shared" si="32"/>
        <v>25th DAA,     Napa Town &amp; Country Fair</v>
      </c>
      <c r="I79" s="207" t="str">
        <f t="shared" si="32"/>
        <v>27th DAA, Shasta District Fair</v>
      </c>
      <c r="J79" s="207" t="str">
        <f t="shared" si="32"/>
        <v>36th DAA,    Dixon May Fair</v>
      </c>
      <c r="K79" s="207" t="str">
        <f t="shared" si="32"/>
        <v>45th DAA, California Mid- Winter Fair</v>
      </c>
      <c r="L79" s="207" t="str">
        <f t="shared" si="32"/>
        <v>El Dorado County Fair</v>
      </c>
      <c r="M79" s="207" t="str">
        <f t="shared" si="32"/>
        <v>Humboldt County Fair</v>
      </c>
      <c r="N79" s="207" t="str">
        <f t="shared" si="32"/>
        <v>Salinas Valley Fair</v>
      </c>
      <c r="O79" s="207" t="str">
        <f t="shared" si="32"/>
        <v>Napa County Fair</v>
      </c>
      <c r="P79" s="248" t="str">
        <f t="shared" si="32"/>
        <v>Placer County Fair</v>
      </c>
    </row>
    <row r="80" spans="1:16" ht="13.5" customHeight="1">
      <c r="A80" s="213" t="s">
        <v>87</v>
      </c>
      <c r="B80" s="2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49"/>
      <c r="N80" s="49"/>
      <c r="O80" s="49"/>
      <c r="P80" s="51"/>
    </row>
    <row r="81" spans="1:16" ht="13.5" customHeight="1">
      <c r="A81" s="213" t="s">
        <v>88</v>
      </c>
      <c r="B81" s="2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49"/>
      <c r="N81" s="49"/>
      <c r="O81" s="49"/>
      <c r="P81" s="51"/>
    </row>
    <row r="82" spans="1:16" ht="13.5" customHeight="1">
      <c r="A82" s="218"/>
      <c r="B82" s="27" t="s">
        <v>89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17"/>
      <c r="N82" s="17"/>
      <c r="O82" s="17"/>
      <c r="P82" s="18"/>
    </row>
    <row r="83" spans="1:16" ht="13.5" customHeight="1">
      <c r="A83" s="218"/>
      <c r="B83" s="27" t="s">
        <v>90</v>
      </c>
      <c r="C83" s="13">
        <v>0</v>
      </c>
      <c r="D83" s="13">
        <v>0</v>
      </c>
      <c r="E83" s="13">
        <v>5767.25</v>
      </c>
      <c r="F83" s="13">
        <v>0</v>
      </c>
      <c r="G83" s="13">
        <v>0</v>
      </c>
      <c r="H83" s="13">
        <v>0</v>
      </c>
      <c r="I83" s="13">
        <v>0</v>
      </c>
      <c r="J83" s="13">
        <v>62988</v>
      </c>
      <c r="K83" s="13">
        <v>0</v>
      </c>
      <c r="L83" s="13">
        <v>0</v>
      </c>
      <c r="M83" s="12">
        <v>0</v>
      </c>
      <c r="N83" s="12">
        <v>0</v>
      </c>
      <c r="O83" s="12">
        <v>322381</v>
      </c>
      <c r="P83" s="14">
        <v>0</v>
      </c>
    </row>
    <row r="84" spans="1:16" ht="13.5" customHeight="1">
      <c r="A84" s="218"/>
      <c r="B84" s="27" t="s">
        <v>91</v>
      </c>
      <c r="C84" s="28">
        <v>731504</v>
      </c>
      <c r="D84" s="28">
        <v>1808319</v>
      </c>
      <c r="E84" s="28">
        <v>293674.71000000002</v>
      </c>
      <c r="F84" s="28">
        <v>2414079.06</v>
      </c>
      <c r="G84" s="28">
        <v>8034</v>
      </c>
      <c r="H84" s="28">
        <v>962594</v>
      </c>
      <c r="I84" s="13">
        <v>234882</v>
      </c>
      <c r="J84" s="28">
        <v>904059</v>
      </c>
      <c r="K84" s="28">
        <v>1506178</v>
      </c>
      <c r="L84" s="28">
        <v>459879</v>
      </c>
      <c r="M84" s="17">
        <v>238217</v>
      </c>
      <c r="N84" s="17">
        <v>1137598</v>
      </c>
      <c r="O84" s="17">
        <v>101732</v>
      </c>
      <c r="P84" s="18">
        <v>388305</v>
      </c>
    </row>
    <row r="85" spans="1:16" ht="13.5" customHeight="1">
      <c r="A85" s="218"/>
      <c r="B85" s="27" t="s">
        <v>92</v>
      </c>
      <c r="C85" s="28">
        <v>27446</v>
      </c>
      <c r="D85" s="28">
        <v>32631</v>
      </c>
      <c r="E85" s="28">
        <f>44248.41+10909.29</f>
        <v>55157.700000000004</v>
      </c>
      <c r="F85" s="28">
        <f>78455.85+9242.96-4275+886268.11</f>
        <v>969691.91999999993</v>
      </c>
      <c r="G85" s="28">
        <v>26531</v>
      </c>
      <c r="H85" s="28">
        <v>38072</v>
      </c>
      <c r="I85" s="13">
        <v>52973</v>
      </c>
      <c r="J85" s="28">
        <f>78771+1128</f>
        <v>79899</v>
      </c>
      <c r="K85" s="28">
        <v>19753</v>
      </c>
      <c r="L85" s="28">
        <v>42502</v>
      </c>
      <c r="M85" s="17">
        <v>284632</v>
      </c>
      <c r="N85" s="17">
        <v>7634</v>
      </c>
      <c r="O85" s="17">
        <v>9466</v>
      </c>
      <c r="P85" s="18">
        <v>-8563</v>
      </c>
    </row>
    <row r="86" spans="1:16" ht="13.5" customHeight="1">
      <c r="A86" s="218"/>
      <c r="B86" s="27" t="s">
        <v>93</v>
      </c>
      <c r="C86" s="28">
        <v>0</v>
      </c>
      <c r="D86" s="28">
        <v>11134</v>
      </c>
      <c r="E86" s="28">
        <v>9110.81</v>
      </c>
      <c r="F86" s="28">
        <v>0</v>
      </c>
      <c r="G86" s="28">
        <v>10892</v>
      </c>
      <c r="H86" s="28">
        <v>30387</v>
      </c>
      <c r="I86" s="28">
        <v>296</v>
      </c>
      <c r="J86" s="28">
        <v>9750</v>
      </c>
      <c r="K86" s="28">
        <v>22688</v>
      </c>
      <c r="L86" s="28">
        <v>7982</v>
      </c>
      <c r="M86" s="17">
        <v>0</v>
      </c>
      <c r="N86" s="17">
        <v>0</v>
      </c>
      <c r="O86" s="17">
        <v>0</v>
      </c>
      <c r="P86" s="18">
        <v>0</v>
      </c>
    </row>
    <row r="87" spans="1:16" ht="13.5" customHeight="1">
      <c r="A87" s="218"/>
      <c r="B87" s="27" t="s">
        <v>94</v>
      </c>
      <c r="C87" s="28">
        <v>0</v>
      </c>
      <c r="D87" s="28">
        <v>1106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17">
        <v>8792</v>
      </c>
      <c r="N87" s="17">
        <v>9388</v>
      </c>
      <c r="O87" s="17">
        <v>4163</v>
      </c>
      <c r="P87" s="18">
        <v>0</v>
      </c>
    </row>
    <row r="88" spans="1:16" ht="13.5" customHeight="1">
      <c r="A88" s="218"/>
      <c r="B88" s="27" t="s">
        <v>146</v>
      </c>
      <c r="C88" s="28">
        <v>5905</v>
      </c>
      <c r="D88" s="28">
        <v>152777</v>
      </c>
      <c r="E88" s="28">
        <v>5698</v>
      </c>
      <c r="F88" s="28">
        <v>12152.96</v>
      </c>
      <c r="G88" s="28">
        <v>82497</v>
      </c>
      <c r="H88" s="28">
        <v>30915</v>
      </c>
      <c r="I88" s="28">
        <v>43943</v>
      </c>
      <c r="J88" s="28">
        <v>112054</v>
      </c>
      <c r="K88" s="28">
        <v>50838</v>
      </c>
      <c r="L88" s="28">
        <v>13315</v>
      </c>
      <c r="M88" s="17">
        <v>57510</v>
      </c>
      <c r="N88" s="17">
        <v>0</v>
      </c>
      <c r="O88" s="17">
        <v>25783</v>
      </c>
      <c r="P88" s="18">
        <v>406753</v>
      </c>
    </row>
    <row r="89" spans="1:16" ht="13.5" customHeight="1">
      <c r="A89" s="218"/>
      <c r="B89" s="27" t="s">
        <v>96</v>
      </c>
      <c r="C89" s="28">
        <v>15523</v>
      </c>
      <c r="D89" s="28">
        <v>0</v>
      </c>
      <c r="E89" s="28">
        <v>8500</v>
      </c>
      <c r="F89" s="28">
        <v>1816740.3</v>
      </c>
      <c r="G89" s="28">
        <v>97504</v>
      </c>
      <c r="H89" s="28">
        <v>231900</v>
      </c>
      <c r="I89" s="28">
        <v>111973</v>
      </c>
      <c r="J89" s="28">
        <v>35602</v>
      </c>
      <c r="K89" s="28">
        <v>0</v>
      </c>
      <c r="L89" s="28">
        <v>90987</v>
      </c>
      <c r="M89" s="17">
        <v>0</v>
      </c>
      <c r="N89" s="17">
        <v>0</v>
      </c>
      <c r="O89" s="17">
        <v>0</v>
      </c>
      <c r="P89" s="18">
        <v>0</v>
      </c>
    </row>
    <row r="90" spans="1:16" ht="13.5" customHeight="1">
      <c r="A90" s="218"/>
      <c r="B90" s="27" t="s">
        <v>97</v>
      </c>
      <c r="C90" s="28">
        <v>8346941</v>
      </c>
      <c r="D90" s="28">
        <v>4394864</v>
      </c>
      <c r="E90" s="28">
        <v>4842407.1900000004</v>
      </c>
      <c r="F90" s="28">
        <v>6740648.4900000002</v>
      </c>
      <c r="G90" s="28">
        <v>3773399</v>
      </c>
      <c r="H90" s="28">
        <v>6070315</v>
      </c>
      <c r="I90" s="28">
        <v>6795004</v>
      </c>
      <c r="J90" s="28">
        <v>3190426</v>
      </c>
      <c r="K90" s="28">
        <v>0</v>
      </c>
      <c r="L90" s="28">
        <v>4716335</v>
      </c>
      <c r="M90" s="17">
        <v>4459452</v>
      </c>
      <c r="N90" s="17">
        <v>8647047</v>
      </c>
      <c r="O90" s="17">
        <v>2952159</v>
      </c>
      <c r="P90" s="18">
        <v>0</v>
      </c>
    </row>
    <row r="91" spans="1:16" ht="13.5" customHeight="1">
      <c r="A91" s="218"/>
      <c r="B91" s="27" t="s">
        <v>98</v>
      </c>
      <c r="C91" s="28">
        <v>409803</v>
      </c>
      <c r="D91" s="28">
        <v>267261</v>
      </c>
      <c r="E91" s="28">
        <v>294651.52000000002</v>
      </c>
      <c r="F91" s="28">
        <v>377323.62</v>
      </c>
      <c r="G91" s="28">
        <v>245649</v>
      </c>
      <c r="H91" s="28">
        <v>993279</v>
      </c>
      <c r="I91" s="28">
        <v>256629</v>
      </c>
      <c r="J91" s="28">
        <v>144555</v>
      </c>
      <c r="K91" s="28">
        <v>317556</v>
      </c>
      <c r="L91" s="28">
        <v>174489</v>
      </c>
      <c r="M91" s="17">
        <v>242422</v>
      </c>
      <c r="N91" s="17">
        <v>511198</v>
      </c>
      <c r="O91" s="17">
        <v>554906</v>
      </c>
      <c r="P91" s="237">
        <v>48814</v>
      </c>
    </row>
    <row r="92" spans="1:16" ht="13.5" customHeight="1">
      <c r="A92" s="218"/>
      <c r="B92" s="27" t="s">
        <v>99</v>
      </c>
      <c r="C92" s="28">
        <v>0</v>
      </c>
      <c r="D92" s="28">
        <v>0</v>
      </c>
      <c r="E92" s="28">
        <v>0</v>
      </c>
      <c r="F92" s="28">
        <v>0</v>
      </c>
      <c r="G92" s="28">
        <v>740573</v>
      </c>
      <c r="H92" s="28">
        <v>0</v>
      </c>
      <c r="I92" s="28">
        <v>0</v>
      </c>
      <c r="J92" s="28">
        <v>0</v>
      </c>
      <c r="K92" s="28">
        <v>3474871</v>
      </c>
      <c r="L92" s="28">
        <v>0</v>
      </c>
      <c r="M92" s="17">
        <v>203537</v>
      </c>
      <c r="N92" s="17">
        <v>0</v>
      </c>
      <c r="O92" s="17">
        <v>0</v>
      </c>
      <c r="P92" s="18">
        <v>0</v>
      </c>
    </row>
    <row r="93" spans="1:16" ht="13.5" customHeight="1">
      <c r="A93" s="218"/>
      <c r="B93" s="27" t="s">
        <v>180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17">
        <v>0</v>
      </c>
      <c r="N93" s="17">
        <v>0</v>
      </c>
      <c r="O93" s="17">
        <v>0</v>
      </c>
      <c r="P93" s="18">
        <v>8312</v>
      </c>
    </row>
    <row r="94" spans="1:16" ht="13.5" customHeight="1">
      <c r="A94" s="218"/>
      <c r="B94" s="27" t="s">
        <v>100</v>
      </c>
      <c r="C94" s="28">
        <f>-5583560-372115</f>
        <v>-5955675</v>
      </c>
      <c r="D94" s="28">
        <f>-3639025-260049</f>
        <v>-3899074</v>
      </c>
      <c r="E94" s="28">
        <f>-2877249.88-294651.52</f>
        <v>-3171901.4</v>
      </c>
      <c r="F94" s="28">
        <f>-2851986.58-349590.57</f>
        <v>-3201577.15</v>
      </c>
      <c r="G94" s="28">
        <f>-2646604-239246-370287</f>
        <v>-3256137</v>
      </c>
      <c r="H94" s="28">
        <f>-3064844-937259</f>
        <v>-4002103</v>
      </c>
      <c r="I94" s="28">
        <f>-4433036-256629</f>
        <v>-4689665</v>
      </c>
      <c r="J94" s="28">
        <f>-2501664-144555</f>
        <v>-2646219</v>
      </c>
      <c r="K94" s="28">
        <f>-316405-2116746</f>
        <v>-2433151</v>
      </c>
      <c r="L94" s="28">
        <f>-3400182-148495</f>
        <v>-3548677</v>
      </c>
      <c r="M94" s="17">
        <f>-3614965-239722-35098</f>
        <v>-3889785</v>
      </c>
      <c r="N94" s="17">
        <f>-3234531-388750</f>
        <v>-3623281</v>
      </c>
      <c r="O94" s="17">
        <f>-1900794-328010</f>
        <v>-2228804</v>
      </c>
      <c r="P94" s="18">
        <v>-1550</v>
      </c>
    </row>
    <row r="95" spans="1:16" ht="13.5" customHeight="1">
      <c r="A95" s="218"/>
      <c r="B95" s="27" t="s">
        <v>101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1</v>
      </c>
      <c r="I95" s="28">
        <v>0</v>
      </c>
      <c r="J95" s="28">
        <v>0</v>
      </c>
      <c r="K95" s="28">
        <v>0</v>
      </c>
      <c r="L95" s="28">
        <v>0</v>
      </c>
      <c r="M95" s="17">
        <v>0</v>
      </c>
      <c r="N95" s="17">
        <v>0</v>
      </c>
      <c r="O95" s="17">
        <v>1</v>
      </c>
      <c r="P95" s="18">
        <v>0</v>
      </c>
    </row>
    <row r="96" spans="1:16" s="20" customFormat="1" ht="13.5" customHeight="1">
      <c r="A96" s="201" t="s">
        <v>102</v>
      </c>
      <c r="B96" s="21"/>
      <c r="C96" s="22">
        <f>SUM(C82:C95)</f>
        <v>3581447</v>
      </c>
      <c r="D96" s="22">
        <f t="shared" ref="D96:N96" si="33">SUM(D82:D95)</f>
        <v>2769018</v>
      </c>
      <c r="E96" s="22">
        <f t="shared" si="33"/>
        <v>2343065.7799999998</v>
      </c>
      <c r="F96" s="22">
        <f t="shared" si="33"/>
        <v>9129059.1999999993</v>
      </c>
      <c r="G96" s="22">
        <f t="shared" ref="G96" si="34">SUM(G82:G95)</f>
        <v>1728942</v>
      </c>
      <c r="H96" s="22">
        <f t="shared" si="33"/>
        <v>4355360</v>
      </c>
      <c r="I96" s="22">
        <f t="shared" si="33"/>
        <v>2806035</v>
      </c>
      <c r="J96" s="22">
        <f t="shared" si="33"/>
        <v>1893114</v>
      </c>
      <c r="K96" s="22">
        <f t="shared" si="33"/>
        <v>2958733</v>
      </c>
      <c r="L96" s="22">
        <f t="shared" si="33"/>
        <v>1956812</v>
      </c>
      <c r="M96" s="22">
        <f t="shared" si="33"/>
        <v>1604777</v>
      </c>
      <c r="N96" s="22">
        <f t="shared" si="33"/>
        <v>6689584</v>
      </c>
      <c r="O96" s="22">
        <f t="shared" ref="O96:P96" si="35">SUM(O82:O95)</f>
        <v>1741787</v>
      </c>
      <c r="P96" s="22">
        <f t="shared" si="35"/>
        <v>842071</v>
      </c>
    </row>
    <row r="97" spans="1:16" s="20" customFormat="1" ht="13.5" customHeight="1">
      <c r="A97" s="201" t="s">
        <v>207</v>
      </c>
      <c r="B97" s="21"/>
      <c r="C97" s="22">
        <v>181458</v>
      </c>
      <c r="D97" s="22">
        <v>162485</v>
      </c>
      <c r="E97" s="22">
        <v>165690.75</v>
      </c>
      <c r="F97" s="22">
        <v>213553.24</v>
      </c>
      <c r="G97" s="22">
        <v>118766</v>
      </c>
      <c r="H97" s="22">
        <v>257882</v>
      </c>
      <c r="I97" s="22">
        <v>185678</v>
      </c>
      <c r="J97" s="22">
        <v>186782</v>
      </c>
      <c r="K97" s="22">
        <v>151598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</row>
    <row r="98" spans="1:16" s="41" customFormat="1" ht="13.5" customHeight="1">
      <c r="A98" s="223" t="s">
        <v>204</v>
      </c>
      <c r="B98" s="155"/>
      <c r="C98" s="156">
        <f>+C96+C97</f>
        <v>3762905</v>
      </c>
      <c r="D98" s="156">
        <f t="shared" ref="D98:N98" si="36">+D96+D97</f>
        <v>2931503</v>
      </c>
      <c r="E98" s="156">
        <f t="shared" si="36"/>
        <v>2508756.5299999998</v>
      </c>
      <c r="F98" s="156">
        <f t="shared" si="36"/>
        <v>9342612.4399999995</v>
      </c>
      <c r="G98" s="156">
        <f t="shared" ref="G98" si="37">+G96+G97</f>
        <v>1847708</v>
      </c>
      <c r="H98" s="156">
        <f t="shared" si="36"/>
        <v>4613242</v>
      </c>
      <c r="I98" s="156">
        <f t="shared" si="36"/>
        <v>2991713</v>
      </c>
      <c r="J98" s="156">
        <f t="shared" si="36"/>
        <v>2079896</v>
      </c>
      <c r="K98" s="156">
        <f t="shared" si="36"/>
        <v>3110331</v>
      </c>
      <c r="L98" s="156">
        <f t="shared" si="36"/>
        <v>1956812</v>
      </c>
      <c r="M98" s="156">
        <f t="shared" si="36"/>
        <v>1604777</v>
      </c>
      <c r="N98" s="156">
        <f t="shared" si="36"/>
        <v>6689584</v>
      </c>
      <c r="O98" s="156">
        <f t="shared" ref="O98:P98" si="38">+O96+O97</f>
        <v>1741787</v>
      </c>
      <c r="P98" s="156">
        <f t="shared" si="38"/>
        <v>842071</v>
      </c>
    </row>
    <row r="99" spans="1:16" ht="13.5" customHeight="1">
      <c r="A99" s="213" t="s">
        <v>205</v>
      </c>
      <c r="B99" s="2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49"/>
      <c r="N99" s="49"/>
      <c r="O99" s="49"/>
      <c r="P99" s="51"/>
    </row>
    <row r="100" spans="1:16" ht="13.5" customHeight="1">
      <c r="A100" s="218"/>
      <c r="B100" s="27" t="s">
        <v>103</v>
      </c>
      <c r="C100" s="28">
        <v>95</v>
      </c>
      <c r="D100" s="28">
        <v>0</v>
      </c>
      <c r="E100" s="28">
        <v>0</v>
      </c>
      <c r="F100" s="28">
        <v>815</v>
      </c>
      <c r="G100" s="28">
        <v>95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17">
        <v>-315</v>
      </c>
      <c r="N100" s="17">
        <v>6835</v>
      </c>
      <c r="O100" s="17">
        <v>-120</v>
      </c>
      <c r="P100" s="18">
        <v>0</v>
      </c>
    </row>
    <row r="101" spans="1:16" ht="13.5" customHeight="1">
      <c r="A101" s="218"/>
      <c r="B101" s="27" t="s">
        <v>104</v>
      </c>
      <c r="C101" s="28">
        <v>5292</v>
      </c>
      <c r="D101" s="28">
        <v>29726</v>
      </c>
      <c r="E101" s="28">
        <f>68592.42+1690.25</f>
        <v>70282.67</v>
      </c>
      <c r="F101" s="28">
        <v>20835.5</v>
      </c>
      <c r="G101" s="28">
        <v>49995</v>
      </c>
      <c r="H101" s="28">
        <v>48224</v>
      </c>
      <c r="I101" s="28">
        <v>40158</v>
      </c>
      <c r="J101" s="28">
        <f>20506+60368</f>
        <v>80874</v>
      </c>
      <c r="K101" s="28">
        <v>13381</v>
      </c>
      <c r="L101" s="28">
        <v>16938</v>
      </c>
      <c r="M101" s="17">
        <v>251267</v>
      </c>
      <c r="N101" s="17">
        <v>20284</v>
      </c>
      <c r="O101" s="17">
        <v>26153</v>
      </c>
      <c r="P101" s="18">
        <v>11924</v>
      </c>
    </row>
    <row r="102" spans="1:16" ht="13.5" customHeight="1">
      <c r="A102" s="218"/>
      <c r="B102" s="27" t="s">
        <v>105</v>
      </c>
      <c r="C102" s="28">
        <v>5339</v>
      </c>
      <c r="D102" s="28">
        <v>-17</v>
      </c>
      <c r="E102" s="28">
        <v>917.65</v>
      </c>
      <c r="F102" s="28">
        <v>16462.87</v>
      </c>
      <c r="G102" s="28">
        <v>4340</v>
      </c>
      <c r="H102" s="28">
        <v>7947</v>
      </c>
      <c r="I102" s="28">
        <v>855</v>
      </c>
      <c r="J102" s="28">
        <v>7265</v>
      </c>
      <c r="K102" s="28">
        <v>1200</v>
      </c>
      <c r="L102" s="28">
        <v>0</v>
      </c>
      <c r="M102" s="17">
        <v>0</v>
      </c>
      <c r="N102" s="17">
        <v>0</v>
      </c>
      <c r="O102" s="17">
        <v>9523</v>
      </c>
      <c r="P102" s="18">
        <v>0</v>
      </c>
    </row>
    <row r="103" spans="1:16" ht="13.5" customHeight="1">
      <c r="A103" s="218"/>
      <c r="B103" s="27" t="s">
        <v>106</v>
      </c>
      <c r="C103" s="28">
        <v>22030</v>
      </c>
      <c r="D103" s="28">
        <v>166084</v>
      </c>
      <c r="E103" s="28">
        <v>20458</v>
      </c>
      <c r="F103" s="28">
        <v>37600</v>
      </c>
      <c r="G103" s="28">
        <v>23315</v>
      </c>
      <c r="H103" s="28">
        <v>253761</v>
      </c>
      <c r="I103" s="28">
        <v>4050</v>
      </c>
      <c r="J103" s="28">
        <v>151395</v>
      </c>
      <c r="K103" s="28">
        <v>92880</v>
      </c>
      <c r="L103" s="28">
        <v>23117</v>
      </c>
      <c r="M103" s="17">
        <v>0</v>
      </c>
      <c r="N103" s="17">
        <v>0</v>
      </c>
      <c r="O103" s="17">
        <v>21137</v>
      </c>
      <c r="P103" s="18">
        <v>17068</v>
      </c>
    </row>
    <row r="104" spans="1:16" ht="13.5" customHeight="1">
      <c r="A104" s="218"/>
      <c r="B104" s="27" t="s">
        <v>107</v>
      </c>
      <c r="C104" s="28">
        <v>0</v>
      </c>
      <c r="D104" s="28">
        <v>0</v>
      </c>
      <c r="E104" s="28">
        <v>0</v>
      </c>
      <c r="F104" s="28">
        <v>2345.6799999999998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17">
        <v>0</v>
      </c>
      <c r="N104" s="17">
        <v>190</v>
      </c>
      <c r="O104" s="17">
        <v>7</v>
      </c>
      <c r="P104" s="18">
        <v>0</v>
      </c>
    </row>
    <row r="105" spans="1:16" ht="13.5" customHeight="1">
      <c r="A105" s="218"/>
      <c r="B105" s="27" t="s">
        <v>108</v>
      </c>
      <c r="C105" s="28">
        <v>3100</v>
      </c>
      <c r="D105" s="28">
        <v>51725</v>
      </c>
      <c r="E105" s="28">
        <v>5300</v>
      </c>
      <c r="F105" s="28">
        <v>10373.89</v>
      </c>
      <c r="G105" s="28">
        <v>15600</v>
      </c>
      <c r="H105" s="28">
        <v>1000</v>
      </c>
      <c r="I105" s="28">
        <v>25320</v>
      </c>
      <c r="J105" s="28">
        <v>21138</v>
      </c>
      <c r="K105" s="28">
        <v>1600</v>
      </c>
      <c r="L105" s="28">
        <v>800</v>
      </c>
      <c r="M105" s="17">
        <v>10852</v>
      </c>
      <c r="N105" s="17">
        <v>39390</v>
      </c>
      <c r="O105" s="17">
        <v>1847</v>
      </c>
      <c r="P105" s="18">
        <v>0</v>
      </c>
    </row>
    <row r="106" spans="1:16" ht="13.5" customHeight="1">
      <c r="A106" s="218"/>
      <c r="B106" s="27" t="s">
        <v>109</v>
      </c>
      <c r="C106" s="28">
        <v>35954</v>
      </c>
      <c r="D106" s="28">
        <v>24018</v>
      </c>
      <c r="E106" s="28">
        <v>13501.22</v>
      </c>
      <c r="F106" s="28">
        <v>30032.92</v>
      </c>
      <c r="G106" s="28">
        <v>33038</v>
      </c>
      <c r="H106" s="28">
        <v>145781</v>
      </c>
      <c r="I106" s="28">
        <v>36103</v>
      </c>
      <c r="J106" s="28">
        <v>47073</v>
      </c>
      <c r="K106" s="28">
        <v>31595</v>
      </c>
      <c r="L106" s="28">
        <v>14754</v>
      </c>
      <c r="M106" s="17">
        <v>0</v>
      </c>
      <c r="N106" s="17">
        <v>6546</v>
      </c>
      <c r="O106" s="17">
        <v>21160</v>
      </c>
      <c r="P106" s="18">
        <v>0</v>
      </c>
    </row>
    <row r="107" spans="1:16" ht="13.5" customHeight="1">
      <c r="A107" s="218"/>
      <c r="B107" s="27" t="s">
        <v>110</v>
      </c>
      <c r="C107" s="28">
        <v>0</v>
      </c>
      <c r="D107" s="28">
        <v>8280</v>
      </c>
      <c r="E107" s="28">
        <v>0</v>
      </c>
      <c r="F107" s="28">
        <v>0</v>
      </c>
      <c r="G107" s="28">
        <v>0</v>
      </c>
      <c r="H107" s="28">
        <v>291955</v>
      </c>
      <c r="I107" s="28">
        <v>67135</v>
      </c>
      <c r="J107" s="28">
        <v>60722</v>
      </c>
      <c r="K107" s="28">
        <v>141090</v>
      </c>
      <c r="L107" s="28">
        <v>32065</v>
      </c>
      <c r="M107" s="17">
        <v>8465</v>
      </c>
      <c r="N107" s="17">
        <v>6951</v>
      </c>
      <c r="O107" s="17">
        <v>93915</v>
      </c>
      <c r="P107" s="18">
        <v>564403</v>
      </c>
    </row>
    <row r="108" spans="1:16" ht="13.5" customHeight="1">
      <c r="A108" s="218"/>
      <c r="B108" s="27" t="s">
        <v>210</v>
      </c>
      <c r="C108" s="17">
        <v>700496</v>
      </c>
      <c r="D108" s="28">
        <v>561914</v>
      </c>
      <c r="E108" s="28">
        <v>588620.35</v>
      </c>
      <c r="F108" s="28">
        <v>768833.73</v>
      </c>
      <c r="G108" s="28">
        <v>445379</v>
      </c>
      <c r="H108" s="28">
        <v>878165</v>
      </c>
      <c r="I108" s="28">
        <v>701725</v>
      </c>
      <c r="J108" s="28">
        <v>675172</v>
      </c>
      <c r="K108" s="28">
        <v>534596</v>
      </c>
      <c r="L108" s="28">
        <v>0</v>
      </c>
      <c r="M108" s="17">
        <v>0</v>
      </c>
      <c r="N108" s="17">
        <v>0</v>
      </c>
      <c r="O108" s="17">
        <v>297653</v>
      </c>
      <c r="P108" s="18">
        <v>0</v>
      </c>
    </row>
    <row r="109" spans="1:16" s="20" customFormat="1" ht="13.5" customHeight="1">
      <c r="A109" s="201" t="s">
        <v>209</v>
      </c>
      <c r="B109" s="21"/>
      <c r="C109" s="22">
        <f>SUM(C100:C108)</f>
        <v>772306</v>
      </c>
      <c r="D109" s="22">
        <f t="shared" ref="D109:O109" si="39">SUM(D100:D108)</f>
        <v>841730</v>
      </c>
      <c r="E109" s="22">
        <f t="shared" si="39"/>
        <v>699079.89</v>
      </c>
      <c r="F109" s="22">
        <f t="shared" si="39"/>
        <v>887299.59</v>
      </c>
      <c r="G109" s="22">
        <f t="shared" ref="G109" si="40">SUM(G100:G108)</f>
        <v>571762</v>
      </c>
      <c r="H109" s="22">
        <f t="shared" si="39"/>
        <v>1626833</v>
      </c>
      <c r="I109" s="22">
        <f t="shared" si="39"/>
        <v>875346</v>
      </c>
      <c r="J109" s="22">
        <f t="shared" si="39"/>
        <v>1043639</v>
      </c>
      <c r="K109" s="22">
        <f t="shared" si="39"/>
        <v>816342</v>
      </c>
      <c r="L109" s="22">
        <f t="shared" si="39"/>
        <v>87674</v>
      </c>
      <c r="M109" s="22">
        <f t="shared" si="39"/>
        <v>270269</v>
      </c>
      <c r="N109" s="22">
        <f t="shared" si="39"/>
        <v>80196</v>
      </c>
      <c r="O109" s="22">
        <f t="shared" si="39"/>
        <v>471275</v>
      </c>
      <c r="P109" s="22">
        <f t="shared" ref="P109" si="41">SUM(P100:P108)</f>
        <v>593395</v>
      </c>
    </row>
    <row r="110" spans="1:16" s="20" customFormat="1" ht="13.5" customHeight="1">
      <c r="A110" s="201" t="s">
        <v>208</v>
      </c>
      <c r="B110" s="21"/>
      <c r="C110" s="22">
        <v>1608</v>
      </c>
      <c r="D110" s="22">
        <v>1290</v>
      </c>
      <c r="E110" s="22">
        <v>1351.59</v>
      </c>
      <c r="F110" s="22">
        <v>1765.39</v>
      </c>
      <c r="G110" s="22">
        <v>1023</v>
      </c>
      <c r="H110" s="22">
        <v>2016</v>
      </c>
      <c r="I110" s="22">
        <v>1611</v>
      </c>
      <c r="J110" s="22">
        <v>1550</v>
      </c>
      <c r="K110" s="22">
        <v>1228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</row>
    <row r="111" spans="1:16" s="41" customFormat="1" ht="13.5" customHeight="1">
      <c r="A111" s="223" t="s">
        <v>206</v>
      </c>
      <c r="B111" s="155"/>
      <c r="C111" s="156">
        <f>+C109+C110</f>
        <v>773914</v>
      </c>
      <c r="D111" s="156">
        <f t="shared" ref="D111:P111" si="42">+D109+D110</f>
        <v>843020</v>
      </c>
      <c r="E111" s="156">
        <f t="shared" si="42"/>
        <v>700431.48</v>
      </c>
      <c r="F111" s="156">
        <f t="shared" si="42"/>
        <v>889064.98</v>
      </c>
      <c r="G111" s="156">
        <f t="shared" ref="G111" si="43">+G109+G110</f>
        <v>572785</v>
      </c>
      <c r="H111" s="156">
        <f t="shared" si="42"/>
        <v>1628849</v>
      </c>
      <c r="I111" s="156">
        <f t="shared" si="42"/>
        <v>876957</v>
      </c>
      <c r="J111" s="156">
        <f t="shared" si="42"/>
        <v>1045189</v>
      </c>
      <c r="K111" s="156">
        <f t="shared" si="42"/>
        <v>817570</v>
      </c>
      <c r="L111" s="156">
        <f t="shared" si="42"/>
        <v>87674</v>
      </c>
      <c r="M111" s="156">
        <f t="shared" si="42"/>
        <v>270269</v>
      </c>
      <c r="N111" s="156">
        <f t="shared" si="42"/>
        <v>80196</v>
      </c>
      <c r="O111" s="156">
        <f t="shared" si="42"/>
        <v>471275</v>
      </c>
      <c r="P111" s="156">
        <f t="shared" si="42"/>
        <v>593395</v>
      </c>
    </row>
    <row r="112" spans="1:16" ht="13.5" customHeight="1">
      <c r="A112" s="213" t="s">
        <v>111</v>
      </c>
      <c r="B112" s="2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49"/>
      <c r="N112" s="49"/>
      <c r="O112" s="49"/>
      <c r="P112" s="51"/>
    </row>
    <row r="113" spans="1:16" ht="13.5" customHeight="1">
      <c r="A113" s="218"/>
      <c r="B113" s="27" t="s">
        <v>112</v>
      </c>
      <c r="C113" s="28">
        <v>500</v>
      </c>
      <c r="D113" s="28">
        <v>0</v>
      </c>
      <c r="E113" s="28">
        <v>14986</v>
      </c>
      <c r="F113" s="28">
        <v>20332.400000000001</v>
      </c>
      <c r="G113" s="28">
        <v>15211</v>
      </c>
      <c r="H113" s="28">
        <v>21638</v>
      </c>
      <c r="I113" s="28">
        <v>131768</v>
      </c>
      <c r="J113" s="28">
        <v>83889</v>
      </c>
      <c r="K113" s="28">
        <v>182580</v>
      </c>
      <c r="L113" s="28">
        <v>0</v>
      </c>
      <c r="M113" s="17">
        <v>25753</v>
      </c>
      <c r="N113" s="17">
        <v>0</v>
      </c>
      <c r="O113" s="17">
        <v>0</v>
      </c>
      <c r="P113" s="18">
        <v>0</v>
      </c>
    </row>
    <row r="114" spans="1:16" ht="13.5" customHeight="1">
      <c r="A114" s="218"/>
      <c r="B114" s="27" t="s">
        <v>39</v>
      </c>
      <c r="C114" s="28">
        <f>C61</f>
        <v>686640</v>
      </c>
      <c r="D114" s="28">
        <f t="shared" ref="D114:P117" si="44">D61</f>
        <v>1581653</v>
      </c>
      <c r="E114" s="28">
        <f t="shared" si="44"/>
        <v>238264</v>
      </c>
      <c r="F114" s="28">
        <f t="shared" si="44"/>
        <v>3244972.71</v>
      </c>
      <c r="G114" s="28">
        <f t="shared" ref="G114" si="45">G61</f>
        <v>-96137</v>
      </c>
      <c r="H114" s="28">
        <f t="shared" si="44"/>
        <v>260747</v>
      </c>
      <c r="I114" s="28">
        <f t="shared" si="44"/>
        <v>49897</v>
      </c>
      <c r="J114" s="28">
        <f t="shared" si="44"/>
        <v>654741</v>
      </c>
      <c r="K114" s="28">
        <f t="shared" si="44"/>
        <v>1225381</v>
      </c>
      <c r="L114" s="28">
        <f t="shared" si="44"/>
        <v>454754</v>
      </c>
      <c r="M114" s="28">
        <f t="shared" si="44"/>
        <v>235619</v>
      </c>
      <c r="N114" s="28">
        <f t="shared" si="44"/>
        <v>1074423</v>
      </c>
      <c r="O114" s="28">
        <f t="shared" si="44"/>
        <v>269250</v>
      </c>
      <c r="P114" s="17">
        <f t="shared" si="44"/>
        <v>-205341</v>
      </c>
    </row>
    <row r="115" spans="1:16" ht="13.5" customHeight="1">
      <c r="A115" s="218"/>
      <c r="B115" s="27" t="s">
        <v>212</v>
      </c>
      <c r="C115" s="28">
        <f>C62</f>
        <v>-520647</v>
      </c>
      <c r="D115" s="28">
        <f t="shared" ref="D115:O115" si="46">D62</f>
        <v>-400718</v>
      </c>
      <c r="E115" s="28">
        <f t="shared" si="46"/>
        <v>-424281</v>
      </c>
      <c r="F115" s="28">
        <f t="shared" si="46"/>
        <v>-557045.88</v>
      </c>
      <c r="G115" s="28">
        <f t="shared" ref="G115" si="47">G62</f>
        <v>-327636</v>
      </c>
      <c r="H115" s="28">
        <f t="shared" si="46"/>
        <v>-622300</v>
      </c>
      <c r="I115" s="28">
        <f t="shared" si="46"/>
        <v>-517658</v>
      </c>
      <c r="J115" s="28">
        <f t="shared" si="46"/>
        <v>-489940</v>
      </c>
      <c r="K115" s="28">
        <f t="shared" si="46"/>
        <v>-384225</v>
      </c>
      <c r="L115" s="28">
        <f t="shared" si="46"/>
        <v>0</v>
      </c>
      <c r="M115" s="28">
        <f t="shared" si="46"/>
        <v>0</v>
      </c>
      <c r="N115" s="28">
        <f t="shared" si="46"/>
        <v>0</v>
      </c>
      <c r="O115" s="28">
        <f t="shared" si="46"/>
        <v>-297653</v>
      </c>
      <c r="P115" s="17">
        <f t="shared" si="44"/>
        <v>0</v>
      </c>
    </row>
    <row r="116" spans="1:16" ht="13.5" customHeight="1">
      <c r="A116" s="218"/>
      <c r="B116" s="27" t="s">
        <v>40</v>
      </c>
      <c r="C116" s="28">
        <f>C63</f>
        <v>0</v>
      </c>
      <c r="D116" s="28">
        <f t="shared" ref="D116:O116" si="48">D63</f>
        <v>0</v>
      </c>
      <c r="E116" s="28">
        <f t="shared" si="48"/>
        <v>0</v>
      </c>
      <c r="F116" s="28">
        <f t="shared" si="48"/>
        <v>0</v>
      </c>
      <c r="G116" s="28">
        <f t="shared" ref="G116" si="49">G63</f>
        <v>0</v>
      </c>
      <c r="H116" s="28">
        <f t="shared" si="48"/>
        <v>0</v>
      </c>
      <c r="I116" s="28">
        <f t="shared" si="48"/>
        <v>0</v>
      </c>
      <c r="J116" s="28">
        <f t="shared" si="48"/>
        <v>0</v>
      </c>
      <c r="K116" s="28">
        <f t="shared" si="48"/>
        <v>0</v>
      </c>
      <c r="L116" s="28">
        <f t="shared" si="48"/>
        <v>0</v>
      </c>
      <c r="M116" s="28">
        <f t="shared" si="48"/>
        <v>0</v>
      </c>
      <c r="N116" s="28">
        <f t="shared" si="48"/>
        <v>0</v>
      </c>
      <c r="O116" s="28">
        <f t="shared" si="48"/>
        <v>31786</v>
      </c>
      <c r="P116" s="17">
        <f t="shared" si="44"/>
        <v>0</v>
      </c>
    </row>
    <row r="117" spans="1:16" ht="13.5" customHeight="1">
      <c r="A117" s="218"/>
      <c r="B117" s="27" t="s">
        <v>113</v>
      </c>
      <c r="C117" s="28">
        <f>C64</f>
        <v>2822497</v>
      </c>
      <c r="D117" s="28">
        <f t="shared" ref="D117:O117" si="50">D64</f>
        <v>907548</v>
      </c>
      <c r="E117" s="28">
        <f t="shared" si="50"/>
        <v>1979355</v>
      </c>
      <c r="F117" s="28">
        <f t="shared" si="50"/>
        <v>5745288.2300000004</v>
      </c>
      <c r="G117" s="28">
        <f t="shared" ref="G117" si="51">G64</f>
        <v>1683485</v>
      </c>
      <c r="H117" s="28">
        <f t="shared" si="50"/>
        <v>3324307</v>
      </c>
      <c r="I117" s="28">
        <f t="shared" si="50"/>
        <v>2450749</v>
      </c>
      <c r="J117" s="28">
        <f t="shared" si="50"/>
        <v>786016</v>
      </c>
      <c r="K117" s="28">
        <f t="shared" si="50"/>
        <v>1269025</v>
      </c>
      <c r="L117" s="28">
        <f t="shared" si="50"/>
        <v>1414384</v>
      </c>
      <c r="M117" s="28">
        <f t="shared" si="50"/>
        <v>1073136</v>
      </c>
      <c r="N117" s="28">
        <f t="shared" si="50"/>
        <v>5534965</v>
      </c>
      <c r="O117" s="28">
        <f t="shared" si="50"/>
        <v>1267129</v>
      </c>
      <c r="P117" s="17">
        <f t="shared" si="44"/>
        <v>454017</v>
      </c>
    </row>
    <row r="118" spans="1:16" ht="13.5" customHeight="1">
      <c r="A118" s="224"/>
      <c r="B118" s="54" t="s">
        <v>159</v>
      </c>
      <c r="C118" s="56">
        <v>1</v>
      </c>
      <c r="D118" s="56">
        <v>0</v>
      </c>
      <c r="E118" s="57">
        <v>0</v>
      </c>
      <c r="F118" s="56"/>
      <c r="G118" s="56">
        <v>0</v>
      </c>
      <c r="H118" s="56">
        <v>0</v>
      </c>
      <c r="I118" s="57"/>
      <c r="J118" s="56">
        <v>0</v>
      </c>
      <c r="K118" s="56"/>
      <c r="L118" s="56">
        <v>0</v>
      </c>
      <c r="M118" s="55">
        <v>0</v>
      </c>
      <c r="N118" s="55">
        <v>0</v>
      </c>
      <c r="O118" s="55">
        <v>0</v>
      </c>
      <c r="P118" s="57"/>
    </row>
    <row r="119" spans="1:16" s="20" customFormat="1" ht="13.5" customHeight="1">
      <c r="A119" s="201" t="s">
        <v>43</v>
      </c>
      <c r="B119" s="58"/>
      <c r="C119" s="59">
        <f>SUM(C113:C118)</f>
        <v>2988991</v>
      </c>
      <c r="D119" s="59">
        <f t="shared" ref="D119:N119" si="52">SUM(D113:D118)</f>
        <v>2088483</v>
      </c>
      <c r="E119" s="59">
        <f t="shared" si="52"/>
        <v>1808324</v>
      </c>
      <c r="F119" s="59">
        <f t="shared" si="52"/>
        <v>8453547.4600000009</v>
      </c>
      <c r="G119" s="59">
        <f t="shared" ref="G119" si="53">SUM(G113:G118)</f>
        <v>1274923</v>
      </c>
      <c r="H119" s="59">
        <f t="shared" si="52"/>
        <v>2984392</v>
      </c>
      <c r="I119" s="59">
        <f t="shared" si="52"/>
        <v>2114756</v>
      </c>
      <c r="J119" s="59">
        <f t="shared" si="52"/>
        <v>1034706</v>
      </c>
      <c r="K119" s="59">
        <f t="shared" si="52"/>
        <v>2292761</v>
      </c>
      <c r="L119" s="59">
        <f t="shared" si="52"/>
        <v>1869138</v>
      </c>
      <c r="M119" s="59">
        <f t="shared" si="52"/>
        <v>1334508</v>
      </c>
      <c r="N119" s="59">
        <f t="shared" si="52"/>
        <v>6609388</v>
      </c>
      <c r="O119" s="59">
        <f t="shared" ref="O119" si="54">SUM(O113:O118)</f>
        <v>1270512</v>
      </c>
      <c r="P119" s="59">
        <f t="shared" ref="P119" si="55">SUM(P113:P118)</f>
        <v>248676</v>
      </c>
    </row>
    <row r="120" spans="1:16" s="41" customFormat="1" ht="13.5" customHeight="1">
      <c r="A120" s="223" t="s">
        <v>211</v>
      </c>
      <c r="B120" s="155"/>
      <c r="C120" s="156">
        <f t="shared" ref="C120:I120" si="56">SUM(C111:C118)</f>
        <v>3762905</v>
      </c>
      <c r="D120" s="156">
        <f t="shared" si="56"/>
        <v>2931503</v>
      </c>
      <c r="E120" s="156">
        <f t="shared" si="56"/>
        <v>2508755.48</v>
      </c>
      <c r="F120" s="156">
        <f t="shared" si="56"/>
        <v>9342612.4400000013</v>
      </c>
      <c r="G120" s="156">
        <f t="shared" ref="G120" si="57">SUM(G111:G118)</f>
        <v>1847708</v>
      </c>
      <c r="H120" s="156">
        <f t="shared" si="56"/>
        <v>4613241</v>
      </c>
      <c r="I120" s="156">
        <f t="shared" si="56"/>
        <v>2991713</v>
      </c>
      <c r="J120" s="156">
        <f t="shared" ref="J120:N120" si="58">SUM(J111:J118)</f>
        <v>2079895</v>
      </c>
      <c r="K120" s="156">
        <f t="shared" si="58"/>
        <v>3110331</v>
      </c>
      <c r="L120" s="156">
        <f t="shared" si="58"/>
        <v>1956812</v>
      </c>
      <c r="M120" s="156">
        <f t="shared" si="58"/>
        <v>1604777</v>
      </c>
      <c r="N120" s="156">
        <f t="shared" si="58"/>
        <v>6689584</v>
      </c>
      <c r="O120" s="156">
        <f t="shared" ref="O120" si="59">SUM(O111:O118)</f>
        <v>1741787</v>
      </c>
      <c r="P120" s="156">
        <f t="shared" ref="P120" si="60">SUM(P111:P118)</f>
        <v>842071</v>
      </c>
    </row>
    <row r="121" spans="1:16" ht="12.75" hidden="1" customHeight="1">
      <c r="A121" s="61"/>
      <c r="B121" s="53" t="s">
        <v>83</v>
      </c>
      <c r="C121" s="87">
        <f>+C98-C120</f>
        <v>0</v>
      </c>
      <c r="D121" s="87">
        <f>+D98-D120</f>
        <v>0</v>
      </c>
      <c r="E121" s="87">
        <f t="shared" ref="E121:N121" si="61">+E98-E120</f>
        <v>1.0499999998137355</v>
      </c>
      <c r="F121" s="87">
        <f t="shared" si="61"/>
        <v>0</v>
      </c>
      <c r="G121" s="87">
        <f t="shared" ref="G121" si="62">+G98-G120</f>
        <v>0</v>
      </c>
      <c r="H121" s="87">
        <f t="shared" si="61"/>
        <v>1</v>
      </c>
      <c r="I121" s="87">
        <f t="shared" si="61"/>
        <v>0</v>
      </c>
      <c r="J121" s="94">
        <f t="shared" si="61"/>
        <v>1</v>
      </c>
      <c r="K121" s="94">
        <f t="shared" si="61"/>
        <v>0</v>
      </c>
      <c r="L121" s="94">
        <f t="shared" si="61"/>
        <v>0</v>
      </c>
      <c r="M121" s="87">
        <f t="shared" si="61"/>
        <v>0</v>
      </c>
      <c r="N121" s="87">
        <f t="shared" si="61"/>
        <v>0</v>
      </c>
      <c r="O121" s="94">
        <f t="shared" ref="O121:P121" si="63">+O98-O120</f>
        <v>0</v>
      </c>
      <c r="P121" s="168">
        <f t="shared" si="63"/>
        <v>0</v>
      </c>
    </row>
    <row r="122" spans="1:16" ht="13.5" customHeight="1">
      <c r="A122" s="53"/>
      <c r="B122" s="78"/>
      <c r="C122" s="79"/>
      <c r="D122" s="79"/>
      <c r="E122" s="79"/>
      <c r="F122" s="79"/>
      <c r="G122" s="79"/>
      <c r="H122" s="79"/>
      <c r="I122" s="79"/>
      <c r="J122" s="165"/>
      <c r="K122" s="165"/>
      <c r="L122" s="165"/>
      <c r="M122" s="79"/>
      <c r="N122" s="79"/>
      <c r="O122" s="165"/>
      <c r="P122" s="79"/>
    </row>
    <row r="123" spans="1:16" ht="40.5" customHeight="1">
      <c r="A123" s="262" t="s">
        <v>114</v>
      </c>
      <c r="B123" s="263"/>
      <c r="C123" s="256">
        <f t="shared" ref="C123:N123" si="64">C56/(C32)</f>
        <v>0.1495233278513895</v>
      </c>
      <c r="D123" s="256">
        <f t="shared" si="64"/>
        <v>-3.5419969170556787E-2</v>
      </c>
      <c r="E123" s="256">
        <f t="shared" si="64"/>
        <v>1.9978331299701266E-2</v>
      </c>
      <c r="F123" s="256">
        <f t="shared" si="64"/>
        <v>0.31094161619800231</v>
      </c>
      <c r="G123" s="256">
        <f t="shared" ref="G123" si="65">G56/(G32)</f>
        <v>-7.2632526220256857E-2</v>
      </c>
      <c r="H123" s="256">
        <f t="shared" si="64"/>
        <v>-2.489522323109675E-2</v>
      </c>
      <c r="I123" s="256">
        <f t="shared" si="64"/>
        <v>-0.22456002111845569</v>
      </c>
      <c r="J123" s="256">
        <f t="shared" si="64"/>
        <v>0.14156503002202889</v>
      </c>
      <c r="K123" s="256">
        <f t="shared" si="64"/>
        <v>0.10619059884003416</v>
      </c>
      <c r="L123" s="256">
        <f t="shared" si="64"/>
        <v>-2.6908156829684941E-2</v>
      </c>
      <c r="M123" s="256">
        <f t="shared" si="64"/>
        <v>5.207945703595987E-2</v>
      </c>
      <c r="N123" s="256">
        <f t="shared" si="64"/>
        <v>3.3471448541097348E-2</v>
      </c>
      <c r="O123" s="256">
        <f t="shared" ref="O123:P123" si="66">O56/(O32)</f>
        <v>6.4667999416440455E-2</v>
      </c>
      <c r="P123" s="256">
        <f t="shared" si="66"/>
        <v>-34.977010531708423</v>
      </c>
    </row>
    <row r="124" spans="1:16" ht="24">
      <c r="A124" s="192"/>
      <c r="B124" s="193" t="s">
        <v>115</v>
      </c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</row>
    <row r="125" spans="1:16" ht="14.25">
      <c r="A125" s="194" t="s">
        <v>188</v>
      </c>
      <c r="B125" s="195"/>
      <c r="C125" s="253">
        <f t="shared" ref="C125:N125" si="67">(SUM(C84:C85))/SUM(C100:C105)</f>
        <v>21.166610887996431</v>
      </c>
      <c r="D125" s="253">
        <f t="shared" si="67"/>
        <v>7.4376408988437204</v>
      </c>
      <c r="E125" s="253">
        <f t="shared" si="67"/>
        <v>3.5977563348869914</v>
      </c>
      <c r="F125" s="253">
        <f t="shared" si="67"/>
        <v>38.263694275006578</v>
      </c>
      <c r="G125" s="253">
        <f t="shared" ref="G125" si="68">(SUM(G84:G85))/SUM(G100:G105)</f>
        <v>0.37029299908939955</v>
      </c>
      <c r="H125" s="253">
        <f t="shared" si="67"/>
        <v>3.2182792379041079</v>
      </c>
      <c r="I125" s="253">
        <f t="shared" si="67"/>
        <v>4.0898370345111745</v>
      </c>
      <c r="J125" s="253">
        <f t="shared" si="67"/>
        <v>3.7746977043947951</v>
      </c>
      <c r="K125" s="253">
        <f t="shared" si="67"/>
        <v>13.991536846352041</v>
      </c>
      <c r="L125" s="253">
        <f t="shared" si="67"/>
        <v>12.296683392485621</v>
      </c>
      <c r="M125" s="253">
        <f t="shared" si="67"/>
        <v>1.9971008846312508</v>
      </c>
      <c r="N125" s="253">
        <f t="shared" si="67"/>
        <v>17.170152476049115</v>
      </c>
      <c r="O125" s="253">
        <f t="shared" ref="O125" si="69">(SUM(O84:O85))/SUM(O100:O105)</f>
        <v>1.8992945838386255</v>
      </c>
      <c r="P125" s="253">
        <f t="shared" ref="P125" si="70">(SUM(P84:P85))/SUM(P100:P105)</f>
        <v>13.098165011037528</v>
      </c>
    </row>
    <row r="126" spans="1:16" ht="36">
      <c r="A126" s="196"/>
      <c r="B126" s="197" t="s">
        <v>189</v>
      </c>
      <c r="C126" s="254"/>
      <c r="D126" s="254"/>
      <c r="E126" s="254"/>
      <c r="F126" s="254"/>
      <c r="G126" s="254"/>
      <c r="H126" s="254"/>
      <c r="I126" s="254"/>
      <c r="J126" s="254"/>
      <c r="K126" s="254"/>
      <c r="L126" s="254"/>
      <c r="M126" s="254"/>
      <c r="N126" s="254"/>
      <c r="O126" s="254"/>
      <c r="P126" s="254"/>
    </row>
    <row r="127" spans="1:16" ht="14.25">
      <c r="A127" s="194" t="s">
        <v>190</v>
      </c>
      <c r="B127" s="195"/>
      <c r="C127" s="253">
        <f t="shared" ref="C127:N127" si="71">(SUM(C84:C85))/SUM(C100:C106)</f>
        <v>10.568862275449101</v>
      </c>
      <c r="D127" s="253">
        <f t="shared" si="71"/>
        <v>6.7797640091921512</v>
      </c>
      <c r="E127" s="253">
        <f t="shared" si="71"/>
        <v>3.1580107069068011</v>
      </c>
      <c r="F127" s="253">
        <f t="shared" si="71"/>
        <v>28.563258478012148</v>
      </c>
      <c r="G127" s="253">
        <f t="shared" ref="G127" si="72">(SUM(G84:G85))/SUM(G100:G106)</f>
        <v>0.27349406170133639</v>
      </c>
      <c r="H127" s="253">
        <f t="shared" si="71"/>
        <v>2.1910171157816833</v>
      </c>
      <c r="I127" s="253">
        <f t="shared" si="71"/>
        <v>2.7032192025242754</v>
      </c>
      <c r="J127" s="253">
        <f t="shared" si="71"/>
        <v>3.1973159596419114</v>
      </c>
      <c r="K127" s="253">
        <f t="shared" si="71"/>
        <v>10.84867335911728</v>
      </c>
      <c r="L127" s="253">
        <f t="shared" si="71"/>
        <v>9.0341671312197658</v>
      </c>
      <c r="M127" s="253">
        <f t="shared" si="71"/>
        <v>1.9971008846312508</v>
      </c>
      <c r="N127" s="253">
        <f t="shared" si="71"/>
        <v>15.635633831660865</v>
      </c>
      <c r="O127" s="253">
        <f t="shared" ref="O127:P127" si="73">(SUM(O84:O85))/SUM(O100:O106)</f>
        <v>1.3950844969701532</v>
      </c>
      <c r="P127" s="253">
        <f t="shared" si="73"/>
        <v>13.098165011037528</v>
      </c>
    </row>
    <row r="128" spans="1:16" ht="24">
      <c r="A128" s="196"/>
      <c r="B128" s="197" t="s">
        <v>191</v>
      </c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</row>
    <row r="129" spans="1:16" s="115" customFormat="1" ht="8.1" customHeight="1">
      <c r="A129" s="116"/>
      <c r="B129" s="117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9"/>
    </row>
    <row r="130" spans="1:16" ht="13.5" customHeight="1">
      <c r="A130" s="199" t="s">
        <v>116</v>
      </c>
      <c r="B130" s="58"/>
      <c r="C130" s="255">
        <f t="shared" ref="C130:N130" si="74">C111/C98</f>
        <v>0.20566929008306081</v>
      </c>
      <c r="D130" s="255">
        <f t="shared" si="74"/>
        <v>0.2875726205976934</v>
      </c>
      <c r="E130" s="255">
        <f t="shared" si="74"/>
        <v>0.27919468135873671</v>
      </c>
      <c r="F130" s="255">
        <f t="shared" si="74"/>
        <v>9.5162352683442794E-2</v>
      </c>
      <c r="G130" s="255">
        <f t="shared" ref="G130" si="75">G111/G98</f>
        <v>0.30999757537446393</v>
      </c>
      <c r="H130" s="255">
        <f t="shared" si="74"/>
        <v>0.35308119539360822</v>
      </c>
      <c r="I130" s="255">
        <f t="shared" si="74"/>
        <v>0.29312871923209211</v>
      </c>
      <c r="J130" s="255">
        <f t="shared" si="74"/>
        <v>0.50251983753033802</v>
      </c>
      <c r="K130" s="255">
        <f t="shared" si="74"/>
        <v>0.26285626835214643</v>
      </c>
      <c r="L130" s="255">
        <f t="shared" si="74"/>
        <v>4.4804508557797072E-2</v>
      </c>
      <c r="M130" s="255">
        <f t="shared" si="74"/>
        <v>0.16841530006972932</v>
      </c>
      <c r="N130" s="255">
        <f t="shared" si="74"/>
        <v>1.1988189400118154E-2</v>
      </c>
      <c r="O130" s="255">
        <f t="shared" ref="O130:P130" si="76">O111/O98</f>
        <v>0.27056982283137948</v>
      </c>
      <c r="P130" s="255">
        <f t="shared" si="76"/>
        <v>0.70468523438047381</v>
      </c>
    </row>
    <row r="131" spans="1:16" ht="25.5">
      <c r="A131" s="192"/>
      <c r="B131" s="198" t="s">
        <v>117</v>
      </c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</row>
    <row r="132" spans="1:16" ht="13.5" customHeight="1">
      <c r="A132" s="199" t="s">
        <v>118</v>
      </c>
      <c r="B132" s="200"/>
      <c r="C132" s="255">
        <f t="shared" ref="C132:N132" si="77">C119/C98</f>
        <v>0.79433070991693921</v>
      </c>
      <c r="D132" s="255">
        <f t="shared" si="77"/>
        <v>0.7124273794023066</v>
      </c>
      <c r="E132" s="255">
        <f t="shared" si="77"/>
        <v>0.72080490010722564</v>
      </c>
      <c r="F132" s="255">
        <f t="shared" si="77"/>
        <v>0.90483764731655736</v>
      </c>
      <c r="G132" s="255">
        <f t="shared" ref="G132" si="78">G119/G98</f>
        <v>0.69000242462553607</v>
      </c>
      <c r="H132" s="255">
        <f t="shared" si="77"/>
        <v>0.64691858783909451</v>
      </c>
      <c r="I132" s="255">
        <f t="shared" si="77"/>
        <v>0.70687128076790784</v>
      </c>
      <c r="J132" s="255">
        <f t="shared" si="77"/>
        <v>0.49747968167639151</v>
      </c>
      <c r="K132" s="255">
        <f t="shared" si="77"/>
        <v>0.73714373164785352</v>
      </c>
      <c r="L132" s="255">
        <f t="shared" si="77"/>
        <v>0.95519549144220295</v>
      </c>
      <c r="M132" s="255">
        <f t="shared" si="77"/>
        <v>0.83158469993027073</v>
      </c>
      <c r="N132" s="255">
        <f t="shared" si="77"/>
        <v>0.98801181059988186</v>
      </c>
      <c r="O132" s="255">
        <f t="shared" ref="O132:P132" si="79">O119/O98</f>
        <v>0.72943017716862046</v>
      </c>
      <c r="P132" s="255">
        <f t="shared" si="79"/>
        <v>0.29531476561952613</v>
      </c>
    </row>
    <row r="133" spans="1:16" ht="24">
      <c r="A133" s="192"/>
      <c r="B133" s="193" t="s">
        <v>119</v>
      </c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</row>
    <row r="134" spans="1:16" ht="13.5" customHeight="1">
      <c r="A134" s="264" t="s">
        <v>120</v>
      </c>
      <c r="B134" s="265"/>
      <c r="C134" s="255">
        <f t="shared" ref="C134:N134" si="80">C111/C119</f>
        <v>0.25892148889039812</v>
      </c>
      <c r="D134" s="255">
        <f t="shared" si="80"/>
        <v>0.40365183724263015</v>
      </c>
      <c r="E134" s="255">
        <f t="shared" si="80"/>
        <v>0.38733737980583127</v>
      </c>
      <c r="F134" s="255">
        <f t="shared" si="80"/>
        <v>0.10517063803176423</v>
      </c>
      <c r="G134" s="255">
        <f t="shared" ref="G134" si="81">G111/G119</f>
        <v>0.44927026965550076</v>
      </c>
      <c r="H134" s="255">
        <f t="shared" si="80"/>
        <v>0.54578922608022007</v>
      </c>
      <c r="I134" s="255">
        <f t="shared" si="80"/>
        <v>0.41468472012846874</v>
      </c>
      <c r="J134" s="255">
        <f t="shared" si="80"/>
        <v>1.0101313803147947</v>
      </c>
      <c r="K134" s="255">
        <f t="shared" si="80"/>
        <v>0.35658753790735276</v>
      </c>
      <c r="L134" s="255">
        <f t="shared" si="80"/>
        <v>4.6906113941292724E-2</v>
      </c>
      <c r="M134" s="255">
        <f t="shared" si="80"/>
        <v>0.20252332694895797</v>
      </c>
      <c r="N134" s="255">
        <f t="shared" si="80"/>
        <v>1.2133649893151983E-2</v>
      </c>
      <c r="O134" s="255">
        <f t="shared" ref="O134:P134" si="82">O111/O119</f>
        <v>0.3709331356177667</v>
      </c>
      <c r="P134" s="255">
        <f t="shared" si="82"/>
        <v>2.3862174073895348</v>
      </c>
    </row>
    <row r="135" spans="1:16">
      <c r="A135" s="192"/>
      <c r="B135" s="193" t="s">
        <v>121</v>
      </c>
      <c r="C135" s="255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</row>
    <row r="136" spans="1:16" s="115" customFormat="1" ht="8.1" customHeight="1">
      <c r="A136" s="120"/>
      <c r="B136" s="121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1"/>
    </row>
    <row r="137" spans="1:16" ht="13.5" customHeight="1">
      <c r="A137" s="201" t="s">
        <v>122</v>
      </c>
      <c r="B137" s="21"/>
      <c r="C137" s="77">
        <v>4</v>
      </c>
      <c r="D137" s="77">
        <v>5</v>
      </c>
      <c r="E137" s="77">
        <v>1</v>
      </c>
      <c r="F137" s="77">
        <v>7</v>
      </c>
      <c r="G137" s="77">
        <v>5</v>
      </c>
      <c r="H137" s="77">
        <v>6</v>
      </c>
      <c r="I137" s="77">
        <v>4</v>
      </c>
      <c r="J137" s="77">
        <v>4</v>
      </c>
      <c r="K137" s="77">
        <v>3</v>
      </c>
      <c r="L137" s="77">
        <v>8</v>
      </c>
      <c r="M137" s="77">
        <v>5</v>
      </c>
      <c r="N137" s="77">
        <v>8</v>
      </c>
      <c r="O137" s="77">
        <v>4</v>
      </c>
      <c r="P137" s="63">
        <v>6</v>
      </c>
    </row>
    <row r="138" spans="1:16" s="115" customFormat="1" ht="8.1" customHeight="1">
      <c r="A138" s="126"/>
      <c r="B138" s="121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1"/>
    </row>
    <row r="139" spans="1:16">
      <c r="A139" s="203" t="s">
        <v>123</v>
      </c>
      <c r="B139" s="203"/>
      <c r="C139" s="128">
        <v>41367</v>
      </c>
      <c r="D139" s="128">
        <v>42804</v>
      </c>
      <c r="E139" s="128">
        <v>44828</v>
      </c>
      <c r="F139" s="128">
        <v>34561</v>
      </c>
      <c r="G139" s="128">
        <v>20484</v>
      </c>
      <c r="H139" s="128">
        <v>29845</v>
      </c>
      <c r="I139" s="128">
        <v>16594</v>
      </c>
      <c r="J139" s="128">
        <v>38751</v>
      </c>
      <c r="K139" s="128">
        <v>67518</v>
      </c>
      <c r="L139" s="128">
        <v>23045</v>
      </c>
      <c r="M139" s="63">
        <v>41102</v>
      </c>
      <c r="N139" s="128">
        <v>20347</v>
      </c>
      <c r="O139" s="128">
        <v>7519</v>
      </c>
      <c r="P139" s="128">
        <v>0</v>
      </c>
    </row>
    <row r="140" spans="1:16">
      <c r="A140" s="202" t="s">
        <v>124</v>
      </c>
      <c r="B140" s="202"/>
      <c r="C140" s="128">
        <v>21354</v>
      </c>
      <c r="D140" s="128">
        <v>17230</v>
      </c>
      <c r="E140" s="128">
        <v>0</v>
      </c>
      <c r="F140" s="128">
        <v>13315</v>
      </c>
      <c r="G140" s="128">
        <v>6380</v>
      </c>
      <c r="H140" s="128">
        <v>8145</v>
      </c>
      <c r="I140" s="128">
        <v>16803</v>
      </c>
      <c r="J140" s="128">
        <v>22675</v>
      </c>
      <c r="K140" s="128">
        <v>30960</v>
      </c>
      <c r="L140" s="128">
        <v>32165</v>
      </c>
      <c r="M140" s="63">
        <v>16333</v>
      </c>
      <c r="N140" s="128">
        <v>12654</v>
      </c>
      <c r="O140" s="128">
        <v>987</v>
      </c>
      <c r="P140" s="128">
        <v>0</v>
      </c>
    </row>
    <row r="141" spans="1:16">
      <c r="A141" s="202" t="s">
        <v>125</v>
      </c>
      <c r="B141" s="202"/>
      <c r="C141" s="128">
        <v>62721</v>
      </c>
      <c r="D141" s="128">
        <v>60034</v>
      </c>
      <c r="E141" s="128">
        <v>44828</v>
      </c>
      <c r="F141" s="128">
        <v>47876</v>
      </c>
      <c r="G141" s="128">
        <v>26864</v>
      </c>
      <c r="H141" s="128">
        <v>37990</v>
      </c>
      <c r="I141" s="128">
        <v>33397</v>
      </c>
      <c r="J141" s="128">
        <v>61426</v>
      </c>
      <c r="K141" s="128">
        <v>98478</v>
      </c>
      <c r="L141" s="128">
        <v>55210</v>
      </c>
      <c r="M141" s="63">
        <v>57435</v>
      </c>
      <c r="N141" s="128">
        <v>33001</v>
      </c>
      <c r="O141" s="128">
        <v>8506</v>
      </c>
      <c r="P141" s="128">
        <v>0</v>
      </c>
    </row>
    <row r="143" spans="1:16">
      <c r="B143" s="44"/>
    </row>
    <row r="144" spans="1:16">
      <c r="A144" s="148"/>
      <c r="B144" s="48"/>
    </row>
    <row r="145" spans="1:2">
      <c r="A145" s="148"/>
      <c r="B145" s="48"/>
    </row>
    <row r="146" spans="1:2">
      <c r="A146" s="44"/>
      <c r="B146" s="44"/>
    </row>
    <row r="147" spans="1:2">
      <c r="A147" s="44"/>
      <c r="B147" s="44"/>
    </row>
  </sheetData>
  <mergeCells count="102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7:D128"/>
    <mergeCell ref="E127:E128"/>
    <mergeCell ref="D132:D133"/>
    <mergeCell ref="E132:E133"/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P127:P128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K127:K128"/>
    <mergeCell ref="L127:L128"/>
    <mergeCell ref="M127:M128"/>
    <mergeCell ref="N127:N128"/>
    <mergeCell ref="O123:O124"/>
    <mergeCell ref="F123:F124"/>
    <mergeCell ref="G123:G124"/>
    <mergeCell ref="H123:H124"/>
    <mergeCell ref="I123:I124"/>
    <mergeCell ref="J123:J124"/>
    <mergeCell ref="O127:O128"/>
    <mergeCell ref="F127:F128"/>
    <mergeCell ref="G127:G128"/>
    <mergeCell ref="H127:H128"/>
    <mergeCell ref="I127:I128"/>
    <mergeCell ref="J127:J128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F124 H123:N124">
    <cfRule type="cellIs" dxfId="33" priority="12" operator="lessThan">
      <formula>0</formula>
    </cfRule>
  </conditionalFormatting>
  <conditionalFormatting sqref="C66:F66 H66:N66">
    <cfRule type="cellIs" dxfId="32" priority="11" operator="lessThan">
      <formula>0</formula>
    </cfRule>
  </conditionalFormatting>
  <conditionalFormatting sqref="G66">
    <cfRule type="cellIs" dxfId="31" priority="8" operator="lessThan">
      <formula>0</formula>
    </cfRule>
  </conditionalFormatting>
  <conditionalFormatting sqref="G123:G124">
    <cfRule type="cellIs" dxfId="30" priority="7" operator="lessThan">
      <formula>0</formula>
    </cfRule>
  </conditionalFormatting>
  <conditionalFormatting sqref="O66">
    <cfRule type="cellIs" dxfId="29" priority="4" operator="lessThan">
      <formula>0</formula>
    </cfRule>
  </conditionalFormatting>
  <conditionalFormatting sqref="O123:O124">
    <cfRule type="cellIs" dxfId="28" priority="3" operator="lessThan">
      <formula>0</formula>
    </cfRule>
  </conditionalFormatting>
  <conditionalFormatting sqref="P123:P124">
    <cfRule type="cellIs" dxfId="27" priority="2" operator="lessThan">
      <formula>0</formula>
    </cfRule>
  </conditionalFormatting>
  <conditionalFormatting sqref="P66">
    <cfRule type="cellIs" dxfId="26" priority="1" operator="lessThan">
      <formula>0</formula>
    </cfRule>
  </conditionalFormatting>
  <printOptions horizontalCentered="1"/>
  <pageMargins left="0.5" right="0.5" top="0.75" bottom="0.35" header="0.5" footer="0.15"/>
  <pageSetup scale="63" fitToHeight="0" orientation="portrait" r:id="rId1"/>
  <headerFooter alignWithMargins="0">
    <oddHeader>&amp;C&amp;"Arial,Bold"&amp;14CLASS III+ FAIRS</oddHeader>
    <oddFooter>&amp;CFairs and Expositions</oddFooter>
  </headerFooter>
  <rowBreaks count="1" manualBreakCount="1">
    <brk id="77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4" width="12.7109375" style="10" customWidth="1"/>
    <col min="5" max="6" width="12.7109375" style="44" customWidth="1"/>
    <col min="7" max="8" width="12.7109375" style="10" customWidth="1"/>
    <col min="9" max="10" width="12.7109375" style="44" customWidth="1"/>
    <col min="11" max="16384" width="9.140625" style="10"/>
  </cols>
  <sheetData>
    <row r="1" spans="1:10" ht="12" customHeight="1">
      <c r="A1" s="266"/>
      <c r="B1" s="267"/>
      <c r="C1" s="211"/>
      <c r="D1" s="211"/>
      <c r="E1" s="211"/>
      <c r="F1" s="211"/>
      <c r="G1" s="211"/>
      <c r="H1" s="211"/>
      <c r="I1" s="211"/>
      <c r="J1" s="211"/>
    </row>
    <row r="2" spans="1:10" ht="12" customHeight="1">
      <c r="A2" s="268"/>
      <c r="B2" s="269"/>
      <c r="C2" s="272" t="s">
        <v>160</v>
      </c>
      <c r="D2" s="272" t="s">
        <v>161</v>
      </c>
      <c r="E2" s="272" t="s">
        <v>162</v>
      </c>
      <c r="F2" s="272" t="s">
        <v>163</v>
      </c>
      <c r="G2" s="272" t="s">
        <v>164</v>
      </c>
      <c r="H2" s="272" t="s">
        <v>165</v>
      </c>
      <c r="I2" s="272" t="s">
        <v>166</v>
      </c>
      <c r="J2" s="272" t="s">
        <v>216</v>
      </c>
    </row>
    <row r="3" spans="1:10" ht="69" customHeight="1">
      <c r="A3" s="270"/>
      <c r="B3" s="271"/>
      <c r="C3" s="273"/>
      <c r="D3" s="273"/>
      <c r="E3" s="273"/>
      <c r="F3" s="273"/>
      <c r="G3" s="273"/>
      <c r="H3" s="273"/>
      <c r="I3" s="273"/>
      <c r="J3" s="273"/>
    </row>
    <row r="4" spans="1:10" ht="13.5" customHeight="1">
      <c r="A4" s="213" t="s">
        <v>218</v>
      </c>
      <c r="B4" s="11"/>
      <c r="C4" s="35"/>
      <c r="D4" s="35"/>
      <c r="E4" s="36"/>
      <c r="F4" s="36"/>
      <c r="G4" s="35"/>
      <c r="H4" s="35"/>
      <c r="I4" s="36"/>
      <c r="J4" s="36"/>
    </row>
    <row r="5" spans="1:10" ht="13.5" customHeight="1">
      <c r="A5" s="213"/>
      <c r="B5" s="11" t="s">
        <v>39</v>
      </c>
      <c r="C5" s="13">
        <v>-19497</v>
      </c>
      <c r="D5" s="13">
        <v>568996</v>
      </c>
      <c r="E5" s="13">
        <v>-82321</v>
      </c>
      <c r="F5" s="13">
        <v>914004</v>
      </c>
      <c r="G5" s="13">
        <v>397824</v>
      </c>
      <c r="H5" s="13">
        <v>9564</v>
      </c>
      <c r="I5" s="13">
        <v>466166</v>
      </c>
      <c r="J5" s="239">
        <v>319976</v>
      </c>
    </row>
    <row r="6" spans="1:10" ht="13.5" customHeight="1">
      <c r="A6" s="213"/>
      <c r="B6" s="11" t="s">
        <v>217</v>
      </c>
      <c r="C6" s="28">
        <v>-1273483</v>
      </c>
      <c r="D6" s="28">
        <v>-1011485</v>
      </c>
      <c r="E6" s="28">
        <v>-1330010</v>
      </c>
      <c r="F6" s="28">
        <v>-797109</v>
      </c>
      <c r="G6" s="28">
        <v>-1103791</v>
      </c>
      <c r="H6" s="28">
        <v>-750868</v>
      </c>
      <c r="I6" s="28">
        <v>-1203071</v>
      </c>
      <c r="J6" s="16">
        <v>0</v>
      </c>
    </row>
    <row r="7" spans="1:10" ht="13.5" customHeight="1">
      <c r="A7" s="213"/>
      <c r="B7" s="11" t="s">
        <v>40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16">
        <v>0</v>
      </c>
    </row>
    <row r="8" spans="1:10" ht="13.5" customHeight="1">
      <c r="A8" s="213"/>
      <c r="B8" s="11" t="s">
        <v>41</v>
      </c>
      <c r="C8" s="28">
        <v>2106541</v>
      </c>
      <c r="D8" s="28">
        <v>3466419</v>
      </c>
      <c r="E8" s="28">
        <v>2143450</v>
      </c>
      <c r="F8" s="18">
        <v>1617069</v>
      </c>
      <c r="G8" s="18">
        <v>1865825</v>
      </c>
      <c r="H8" s="18">
        <v>2133206</v>
      </c>
      <c r="I8" s="18">
        <v>4163200</v>
      </c>
      <c r="J8" s="16">
        <v>2404489</v>
      </c>
    </row>
    <row r="9" spans="1:10" ht="13.5" customHeight="1">
      <c r="A9" s="213"/>
      <c r="B9" s="11" t="s">
        <v>42</v>
      </c>
      <c r="C9" s="28">
        <v>1858</v>
      </c>
      <c r="D9" s="28">
        <v>125601</v>
      </c>
      <c r="E9" s="28">
        <v>-1</v>
      </c>
      <c r="F9" s="18">
        <v>0</v>
      </c>
      <c r="G9" s="18">
        <v>21952</v>
      </c>
      <c r="H9" s="18">
        <v>5038</v>
      </c>
      <c r="I9" s="18">
        <v>0</v>
      </c>
      <c r="J9" s="18">
        <v>0</v>
      </c>
    </row>
    <row r="10" spans="1:10" s="20" customFormat="1" ht="13.5" customHeight="1" thickBot="1">
      <c r="A10" s="214"/>
      <c r="B10" s="84" t="s">
        <v>43</v>
      </c>
      <c r="C10" s="60">
        <f>SUM(C5:C9)</f>
        <v>815419</v>
      </c>
      <c r="D10" s="60">
        <f t="shared" ref="D10:I10" si="0">SUM(D5:D9)</f>
        <v>3149531</v>
      </c>
      <c r="E10" s="60">
        <f t="shared" si="0"/>
        <v>731118</v>
      </c>
      <c r="F10" s="60">
        <f t="shared" si="0"/>
        <v>1733964</v>
      </c>
      <c r="G10" s="60">
        <f t="shared" si="0"/>
        <v>1181810</v>
      </c>
      <c r="H10" s="60">
        <f t="shared" si="0"/>
        <v>1396940</v>
      </c>
      <c r="I10" s="60">
        <f t="shared" si="0"/>
        <v>3426295</v>
      </c>
      <c r="J10" s="60">
        <f t="shared" ref="J10" si="1">SUM(J5:J9)</f>
        <v>2724465</v>
      </c>
    </row>
    <row r="11" spans="1:10" s="20" customFormat="1" ht="13.5" customHeight="1">
      <c r="A11" s="192" t="s">
        <v>44</v>
      </c>
      <c r="B11" s="33"/>
      <c r="C11" s="39"/>
      <c r="D11" s="39"/>
      <c r="E11" s="39"/>
      <c r="F11" s="39"/>
      <c r="G11" s="39"/>
      <c r="H11" s="39"/>
      <c r="I11" s="39"/>
      <c r="J11" s="39"/>
    </row>
    <row r="12" spans="1:10" s="20" customFormat="1" ht="13.5" customHeight="1">
      <c r="A12" s="215"/>
      <c r="B12" s="21" t="s">
        <v>45</v>
      </c>
      <c r="C12" s="22">
        <v>0</v>
      </c>
      <c r="D12" s="22">
        <v>35644</v>
      </c>
      <c r="E12" s="22">
        <v>35644</v>
      </c>
      <c r="F12" s="22">
        <v>35644</v>
      </c>
      <c r="G12" s="22">
        <v>35644</v>
      </c>
      <c r="H12" s="22">
        <v>35644</v>
      </c>
      <c r="I12" s="22">
        <v>35644</v>
      </c>
      <c r="J12" s="22">
        <v>0</v>
      </c>
    </row>
    <row r="13" spans="1:10" s="20" customFormat="1" ht="13.5" customHeight="1">
      <c r="A13" s="215"/>
      <c r="B13" s="21" t="s">
        <v>46</v>
      </c>
      <c r="C13" s="22">
        <v>435932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30108</v>
      </c>
      <c r="J13" s="22">
        <v>0</v>
      </c>
    </row>
    <row r="14" spans="1:10" s="20" customFormat="1" ht="13.5" customHeight="1" thickBot="1">
      <c r="A14" s="216"/>
      <c r="B14" s="30" t="s">
        <v>47</v>
      </c>
      <c r="C14" s="31">
        <v>0</v>
      </c>
      <c r="D14" s="31">
        <v>2258</v>
      </c>
      <c r="E14" s="31">
        <f>2258+8495</f>
        <v>10753</v>
      </c>
      <c r="F14" s="31">
        <v>0</v>
      </c>
      <c r="G14" s="31">
        <v>0</v>
      </c>
      <c r="H14" s="31">
        <f>2258+150000+1312</f>
        <v>153570</v>
      </c>
      <c r="I14" s="31">
        <v>14000</v>
      </c>
      <c r="J14" s="31">
        <v>0</v>
      </c>
    </row>
    <row r="15" spans="1:10" ht="13.5" customHeight="1">
      <c r="A15" s="217" t="s">
        <v>48</v>
      </c>
      <c r="B15" s="23"/>
      <c r="C15" s="25"/>
      <c r="D15" s="25"/>
      <c r="E15" s="26"/>
      <c r="F15" s="26"/>
      <c r="G15" s="25"/>
      <c r="H15" s="25"/>
      <c r="I15" s="26"/>
      <c r="J15" s="26"/>
    </row>
    <row r="16" spans="1:10" ht="13.5" customHeight="1">
      <c r="A16" s="218"/>
      <c r="B16" s="27" t="s">
        <v>49</v>
      </c>
      <c r="C16" s="28">
        <v>221474</v>
      </c>
      <c r="D16" s="28">
        <v>391049</v>
      </c>
      <c r="E16" s="18">
        <v>181669</v>
      </c>
      <c r="F16" s="18">
        <v>424629</v>
      </c>
      <c r="G16" s="28">
        <v>352742</v>
      </c>
      <c r="H16" s="28">
        <v>323372</v>
      </c>
      <c r="I16" s="18">
        <v>540165</v>
      </c>
      <c r="J16" s="18">
        <v>1603507</v>
      </c>
    </row>
    <row r="17" spans="1:10" ht="13.5" customHeight="1">
      <c r="A17" s="218"/>
      <c r="B17" s="27" t="s">
        <v>50</v>
      </c>
      <c r="C17" s="28">
        <v>47625</v>
      </c>
      <c r="D17" s="28">
        <v>97370</v>
      </c>
      <c r="E17" s="18">
        <v>16500</v>
      </c>
      <c r="F17" s="18">
        <v>86717</v>
      </c>
      <c r="G17" s="28">
        <v>134229</v>
      </c>
      <c r="H17" s="28">
        <v>46700</v>
      </c>
      <c r="I17" s="18">
        <v>100239</v>
      </c>
      <c r="J17" s="18">
        <v>158474</v>
      </c>
    </row>
    <row r="18" spans="1:10" ht="13.5" customHeight="1">
      <c r="A18" s="218"/>
      <c r="B18" s="27" t="s">
        <v>51</v>
      </c>
      <c r="C18" s="28">
        <v>202616</v>
      </c>
      <c r="D18" s="28">
        <v>269039</v>
      </c>
      <c r="E18" s="18">
        <v>342600</v>
      </c>
      <c r="F18" s="18">
        <v>288656</v>
      </c>
      <c r="G18" s="28">
        <v>209863</v>
      </c>
      <c r="H18" s="28">
        <v>204218</v>
      </c>
      <c r="I18" s="18">
        <v>268102</v>
      </c>
      <c r="J18" s="18">
        <v>0</v>
      </c>
    </row>
    <row r="19" spans="1:10" ht="13.5" customHeight="1">
      <c r="A19" s="218"/>
      <c r="B19" s="27" t="s">
        <v>52</v>
      </c>
      <c r="C19" s="28">
        <v>159590</v>
      </c>
      <c r="D19" s="28">
        <v>211406</v>
      </c>
      <c r="E19" s="18">
        <v>0</v>
      </c>
      <c r="F19" s="18">
        <v>202401</v>
      </c>
      <c r="G19" s="28">
        <v>190397</v>
      </c>
      <c r="H19" s="28">
        <v>157559</v>
      </c>
      <c r="I19" s="18">
        <v>230434</v>
      </c>
      <c r="J19" s="18">
        <v>345058</v>
      </c>
    </row>
    <row r="20" spans="1:10" ht="13.5" customHeight="1">
      <c r="A20" s="218"/>
      <c r="B20" s="27" t="s">
        <v>53</v>
      </c>
      <c r="C20" s="28">
        <v>23247</v>
      </c>
      <c r="D20" s="28">
        <v>17179</v>
      </c>
      <c r="E20" s="18">
        <v>3969</v>
      </c>
      <c r="F20" s="18">
        <v>57385</v>
      </c>
      <c r="G20" s="28">
        <v>27992</v>
      </c>
      <c r="H20" s="28">
        <v>31264</v>
      </c>
      <c r="I20" s="18">
        <v>80748</v>
      </c>
      <c r="J20" s="18">
        <v>89077</v>
      </c>
    </row>
    <row r="21" spans="1:10" ht="13.5" customHeight="1">
      <c r="A21" s="218"/>
      <c r="B21" s="27" t="s">
        <v>54</v>
      </c>
      <c r="C21" s="28">
        <v>0</v>
      </c>
      <c r="D21" s="28">
        <v>5381</v>
      </c>
      <c r="E21" s="18">
        <f>270732+85348+141222</f>
        <v>497302</v>
      </c>
      <c r="F21" s="18">
        <v>0</v>
      </c>
      <c r="G21" s="28">
        <v>732</v>
      </c>
      <c r="H21" s="28">
        <v>1035</v>
      </c>
      <c r="I21" s="18">
        <v>0</v>
      </c>
      <c r="J21" s="18">
        <v>0</v>
      </c>
    </row>
    <row r="22" spans="1:10" ht="13.5" customHeight="1">
      <c r="A22" s="218"/>
      <c r="B22" s="27" t="s">
        <v>55</v>
      </c>
      <c r="C22" s="29">
        <v>0</v>
      </c>
      <c r="D22" s="29">
        <v>104376</v>
      </c>
      <c r="E22" s="16">
        <v>0</v>
      </c>
      <c r="F22" s="16">
        <v>0</v>
      </c>
      <c r="G22" s="29">
        <v>0</v>
      </c>
      <c r="H22" s="29">
        <v>0</v>
      </c>
      <c r="I22" s="16">
        <v>0</v>
      </c>
      <c r="J22" s="16">
        <v>0</v>
      </c>
    </row>
    <row r="23" spans="1:10" ht="13.5" customHeight="1">
      <c r="A23" s="218"/>
      <c r="B23" s="27" t="s">
        <v>56</v>
      </c>
      <c r="C23" s="28">
        <v>251101</v>
      </c>
      <c r="D23" s="28">
        <v>0</v>
      </c>
      <c r="E23" s="18">
        <v>0</v>
      </c>
      <c r="F23" s="18">
        <v>0</v>
      </c>
      <c r="G23" s="28">
        <v>298081</v>
      </c>
      <c r="H23" s="28">
        <v>0</v>
      </c>
      <c r="I23" s="18">
        <v>0</v>
      </c>
      <c r="J23" s="18">
        <v>0</v>
      </c>
    </row>
    <row r="24" spans="1:10" ht="13.5" customHeight="1">
      <c r="A24" s="218"/>
      <c r="B24" s="27" t="s">
        <v>57</v>
      </c>
      <c r="C24" s="28">
        <v>0</v>
      </c>
      <c r="D24" s="28">
        <v>414108</v>
      </c>
      <c r="E24" s="18">
        <v>0</v>
      </c>
      <c r="F24" s="18">
        <v>97808</v>
      </c>
      <c r="G24" s="28">
        <v>30798</v>
      </c>
      <c r="H24" s="28">
        <v>23930</v>
      </c>
      <c r="I24" s="18">
        <v>19134</v>
      </c>
      <c r="J24" s="18">
        <v>48126</v>
      </c>
    </row>
    <row r="25" spans="1:10" ht="13.5" customHeight="1">
      <c r="A25" s="218"/>
      <c r="B25" s="27" t="s">
        <v>58</v>
      </c>
      <c r="C25" s="28">
        <v>0</v>
      </c>
      <c r="D25" s="28">
        <v>0</v>
      </c>
      <c r="E25" s="18">
        <v>0</v>
      </c>
      <c r="F25" s="18">
        <v>0</v>
      </c>
      <c r="G25" s="28">
        <v>0</v>
      </c>
      <c r="H25" s="28">
        <v>28925</v>
      </c>
      <c r="I25" s="18">
        <v>0</v>
      </c>
      <c r="J25" s="18">
        <v>0</v>
      </c>
    </row>
    <row r="26" spans="1:10" ht="13.5" customHeight="1">
      <c r="A26" s="218"/>
      <c r="B26" s="27" t="s">
        <v>59</v>
      </c>
      <c r="C26" s="28">
        <v>0</v>
      </c>
      <c r="D26" s="28">
        <v>0</v>
      </c>
      <c r="E26" s="18">
        <v>0</v>
      </c>
      <c r="F26" s="18">
        <v>0</v>
      </c>
      <c r="G26" s="28">
        <v>0</v>
      </c>
      <c r="H26" s="28">
        <v>0</v>
      </c>
      <c r="I26" s="18">
        <v>0</v>
      </c>
      <c r="J26" s="18">
        <v>0</v>
      </c>
    </row>
    <row r="27" spans="1:10" ht="13.5" customHeight="1">
      <c r="A27" s="218"/>
      <c r="B27" s="27" t="s">
        <v>60</v>
      </c>
      <c r="C27" s="28">
        <v>166155</v>
      </c>
      <c r="D27" s="28">
        <v>247094</v>
      </c>
      <c r="E27" s="18">
        <v>72340</v>
      </c>
      <c r="F27" s="18">
        <v>294630</v>
      </c>
      <c r="G27" s="28">
        <v>276522</v>
      </c>
      <c r="H27" s="28">
        <v>250083</v>
      </c>
      <c r="I27" s="18">
        <v>230129</v>
      </c>
      <c r="J27" s="18">
        <v>379099</v>
      </c>
    </row>
    <row r="28" spans="1:10" ht="13.5" customHeight="1">
      <c r="A28" s="218"/>
      <c r="B28" s="27" t="s">
        <v>145</v>
      </c>
      <c r="C28" s="28">
        <v>0</v>
      </c>
      <c r="D28" s="28">
        <v>0</v>
      </c>
      <c r="E28" s="18">
        <v>0</v>
      </c>
      <c r="F28" s="18">
        <v>128225</v>
      </c>
      <c r="G28" s="28">
        <v>257879</v>
      </c>
      <c r="H28" s="28">
        <v>0</v>
      </c>
      <c r="I28" s="18">
        <v>486321</v>
      </c>
      <c r="J28" s="18">
        <v>0</v>
      </c>
    </row>
    <row r="29" spans="1:10" ht="13.5" customHeight="1">
      <c r="A29" s="218"/>
      <c r="B29" s="27" t="s">
        <v>62</v>
      </c>
      <c r="C29" s="28">
        <v>1087009</v>
      </c>
      <c r="D29" s="28">
        <v>789891</v>
      </c>
      <c r="E29" s="18">
        <v>1051006</v>
      </c>
      <c r="F29" s="18">
        <v>305147</v>
      </c>
      <c r="G29" s="28">
        <v>937329</v>
      </c>
      <c r="H29" s="28">
        <v>702234</v>
      </c>
      <c r="I29" s="18">
        <v>670699</v>
      </c>
      <c r="J29" s="18">
        <v>35655</v>
      </c>
    </row>
    <row r="30" spans="1:10" ht="13.5" customHeight="1">
      <c r="A30" s="218"/>
      <c r="B30" s="27" t="s">
        <v>63</v>
      </c>
      <c r="C30" s="28">
        <v>25033</v>
      </c>
      <c r="D30" s="28">
        <v>17250</v>
      </c>
      <c r="E30" s="18">
        <v>2700</v>
      </c>
      <c r="F30" s="18">
        <v>-17764</v>
      </c>
      <c r="G30" s="28">
        <v>20365</v>
      </c>
      <c r="H30" s="28">
        <v>-16</v>
      </c>
      <c r="I30" s="18">
        <v>8241</v>
      </c>
      <c r="J30" s="18">
        <v>0</v>
      </c>
    </row>
    <row r="31" spans="1:10" ht="13.5" customHeight="1">
      <c r="A31" s="218"/>
      <c r="B31" s="27" t="s">
        <v>64</v>
      </c>
      <c r="C31" s="29">
        <v>30487</v>
      </c>
      <c r="D31" s="29">
        <v>89782</v>
      </c>
      <c r="E31" s="16">
        <v>9788</v>
      </c>
      <c r="F31" s="16">
        <v>582</v>
      </c>
      <c r="G31" s="29">
        <v>13748</v>
      </c>
      <c r="H31" s="29">
        <v>11427</v>
      </c>
      <c r="I31" s="16">
        <v>6861</v>
      </c>
      <c r="J31" s="16">
        <v>55625</v>
      </c>
    </row>
    <row r="32" spans="1:10" s="20" customFormat="1" ht="13.5" customHeight="1" thickBot="1">
      <c r="A32" s="214" t="s">
        <v>65</v>
      </c>
      <c r="B32" s="30"/>
      <c r="C32" s="31">
        <f t="shared" ref="C32:I32" si="2">SUM(C16:C31)</f>
        <v>2214337</v>
      </c>
      <c r="D32" s="31">
        <f t="shared" si="2"/>
        <v>2653925</v>
      </c>
      <c r="E32" s="31">
        <f t="shared" si="2"/>
        <v>2177874</v>
      </c>
      <c r="F32" s="31">
        <f t="shared" si="2"/>
        <v>1868416</v>
      </c>
      <c r="G32" s="31">
        <f t="shared" si="2"/>
        <v>2750677</v>
      </c>
      <c r="H32" s="31">
        <f t="shared" si="2"/>
        <v>1780731</v>
      </c>
      <c r="I32" s="31">
        <f t="shared" si="2"/>
        <v>2641073</v>
      </c>
      <c r="J32" s="31">
        <f t="shared" ref="J32" si="3">SUM(J16:J31)</f>
        <v>2714621</v>
      </c>
    </row>
    <row r="33" spans="1:10" ht="13.5" customHeight="1">
      <c r="A33" s="217" t="s">
        <v>66</v>
      </c>
      <c r="B33" s="23"/>
      <c r="C33" s="25"/>
      <c r="D33" s="25"/>
      <c r="E33" s="26"/>
      <c r="F33" s="26"/>
      <c r="G33" s="25"/>
      <c r="H33" s="25"/>
      <c r="I33" s="26"/>
      <c r="J33" s="26"/>
    </row>
    <row r="34" spans="1:10" ht="13.5" customHeight="1">
      <c r="A34" s="218"/>
      <c r="B34" s="27" t="s">
        <v>67</v>
      </c>
      <c r="C34" s="28">
        <v>406009</v>
      </c>
      <c r="D34" s="28">
        <v>608412</v>
      </c>
      <c r="E34" s="18">
        <v>481250</v>
      </c>
      <c r="F34" s="18">
        <v>351594</v>
      </c>
      <c r="G34" s="28">
        <v>603556</v>
      </c>
      <c r="H34" s="28">
        <v>359134</v>
      </c>
      <c r="I34" s="18">
        <v>448595</v>
      </c>
      <c r="J34" s="18">
        <v>236543</v>
      </c>
    </row>
    <row r="35" spans="1:10" ht="13.5" customHeight="1">
      <c r="A35" s="218"/>
      <c r="B35" s="27" t="s">
        <v>68</v>
      </c>
      <c r="C35" s="28">
        <v>597761</v>
      </c>
      <c r="D35" s="28">
        <v>730836</v>
      </c>
      <c r="E35" s="18">
        <v>877900</v>
      </c>
      <c r="F35" s="18">
        <v>606017</v>
      </c>
      <c r="G35" s="28">
        <v>594354</v>
      </c>
      <c r="H35" s="28">
        <v>606587</v>
      </c>
      <c r="I35" s="18">
        <v>609396</v>
      </c>
      <c r="J35" s="18">
        <v>513738</v>
      </c>
    </row>
    <row r="36" spans="1:10" ht="13.5" customHeight="1">
      <c r="A36" s="218"/>
      <c r="B36" s="27" t="s">
        <v>69</v>
      </c>
      <c r="C36" s="28">
        <v>93841</v>
      </c>
      <c r="D36" s="28">
        <v>42328</v>
      </c>
      <c r="E36" s="18">
        <v>51772</v>
      </c>
      <c r="F36" s="18">
        <v>83489</v>
      </c>
      <c r="G36" s="28">
        <v>69406</v>
      </c>
      <c r="H36" s="28">
        <v>144290</v>
      </c>
      <c r="I36" s="18">
        <v>75353</v>
      </c>
      <c r="J36" s="18">
        <v>217748</v>
      </c>
    </row>
    <row r="37" spans="1:10" ht="13.5" customHeight="1">
      <c r="A37" s="218"/>
      <c r="B37" s="27" t="s">
        <v>70</v>
      </c>
      <c r="C37" s="28">
        <v>28308</v>
      </c>
      <c r="D37" s="28">
        <v>184193</v>
      </c>
      <c r="E37" s="18">
        <v>72050</v>
      </c>
      <c r="F37" s="18">
        <v>51469</v>
      </c>
      <c r="G37" s="28">
        <v>138464</v>
      </c>
      <c r="H37" s="28">
        <v>152814</v>
      </c>
      <c r="I37" s="18">
        <v>277152</v>
      </c>
      <c r="J37" s="18">
        <v>315971</v>
      </c>
    </row>
    <row r="38" spans="1:10" ht="13.5" customHeight="1">
      <c r="A38" s="218"/>
      <c r="B38" s="27" t="s">
        <v>60</v>
      </c>
      <c r="C38" s="28">
        <v>76309</v>
      </c>
      <c r="D38" s="28">
        <v>88907</v>
      </c>
      <c r="E38" s="18">
        <v>44263</v>
      </c>
      <c r="F38" s="18">
        <v>143692</v>
      </c>
      <c r="G38" s="28">
        <v>29639</v>
      </c>
      <c r="H38" s="28">
        <v>83255</v>
      </c>
      <c r="I38" s="18">
        <v>114576</v>
      </c>
      <c r="J38" s="18">
        <v>40795</v>
      </c>
    </row>
    <row r="39" spans="1:10" ht="13.5" customHeight="1">
      <c r="A39" s="218"/>
      <c r="B39" s="27" t="s">
        <v>71</v>
      </c>
      <c r="C39" s="28">
        <v>106289</v>
      </c>
      <c r="D39" s="28">
        <v>112134</v>
      </c>
      <c r="E39" s="18">
        <v>174763</v>
      </c>
      <c r="F39" s="18">
        <v>74442</v>
      </c>
      <c r="G39" s="28">
        <v>384206</v>
      </c>
      <c r="H39" s="28">
        <v>0</v>
      </c>
      <c r="I39" s="18">
        <v>244567</v>
      </c>
      <c r="J39" s="18">
        <v>5165</v>
      </c>
    </row>
    <row r="40" spans="1:10" ht="13.5" customHeight="1">
      <c r="A40" s="218"/>
      <c r="B40" s="27" t="s">
        <v>72</v>
      </c>
      <c r="C40" s="28">
        <v>36067</v>
      </c>
      <c r="D40" s="28">
        <v>37975</v>
      </c>
      <c r="E40" s="18">
        <v>6287</v>
      </c>
      <c r="F40" s="18">
        <v>2901</v>
      </c>
      <c r="G40" s="28">
        <v>22937</v>
      </c>
      <c r="H40" s="28">
        <v>36574</v>
      </c>
      <c r="I40" s="18">
        <v>24337</v>
      </c>
      <c r="J40" s="18">
        <v>104161</v>
      </c>
    </row>
    <row r="41" spans="1:10" ht="13.5" customHeight="1">
      <c r="A41" s="218"/>
      <c r="B41" s="27" t="s">
        <v>53</v>
      </c>
      <c r="C41" s="28">
        <v>233761</v>
      </c>
      <c r="D41" s="28">
        <v>108632</v>
      </c>
      <c r="E41" s="18">
        <v>53161</v>
      </c>
      <c r="F41" s="18">
        <v>24718</v>
      </c>
      <c r="G41" s="28">
        <v>41761</v>
      </c>
      <c r="H41" s="28">
        <v>96068</v>
      </c>
      <c r="I41" s="18">
        <v>104776</v>
      </c>
      <c r="J41" s="18">
        <v>244213</v>
      </c>
    </row>
    <row r="42" spans="1:10" ht="13.5" customHeight="1">
      <c r="A42" s="218"/>
      <c r="B42" s="27" t="s">
        <v>54</v>
      </c>
      <c r="C42" s="28">
        <v>0</v>
      </c>
      <c r="D42" s="28">
        <v>575</v>
      </c>
      <c r="E42" s="18">
        <f>73534+83877+172725</f>
        <v>330136</v>
      </c>
      <c r="F42" s="18">
        <v>0</v>
      </c>
      <c r="G42" s="28">
        <v>198</v>
      </c>
      <c r="H42" s="28">
        <v>624</v>
      </c>
      <c r="I42" s="18">
        <v>822</v>
      </c>
      <c r="J42" s="18">
        <v>0</v>
      </c>
    </row>
    <row r="43" spans="1:10" ht="13.5" customHeight="1">
      <c r="A43" s="218"/>
      <c r="B43" s="27" t="s">
        <v>55</v>
      </c>
      <c r="C43" s="28">
        <v>0</v>
      </c>
      <c r="D43" s="28">
        <v>30465</v>
      </c>
      <c r="E43" s="18">
        <v>0</v>
      </c>
      <c r="F43" s="18">
        <v>0</v>
      </c>
      <c r="G43" s="28">
        <v>0</v>
      </c>
      <c r="H43" s="28">
        <v>0</v>
      </c>
      <c r="I43" s="18">
        <v>0</v>
      </c>
      <c r="J43" s="18">
        <v>0</v>
      </c>
    </row>
    <row r="44" spans="1:10" ht="13.5" customHeight="1">
      <c r="A44" s="218"/>
      <c r="B44" s="27" t="s">
        <v>56</v>
      </c>
      <c r="C44" s="28">
        <v>231118</v>
      </c>
      <c r="D44" s="28">
        <v>0</v>
      </c>
      <c r="E44" s="18">
        <v>0</v>
      </c>
      <c r="F44" s="18">
        <v>0</v>
      </c>
      <c r="G44" s="28">
        <v>209719</v>
      </c>
      <c r="H44" s="28">
        <v>0</v>
      </c>
      <c r="I44" s="18">
        <v>0</v>
      </c>
      <c r="J44" s="18">
        <v>0</v>
      </c>
    </row>
    <row r="45" spans="1:10" ht="13.5" customHeight="1">
      <c r="A45" s="218"/>
      <c r="B45" s="27" t="s">
        <v>73</v>
      </c>
      <c r="C45" s="28">
        <v>270185</v>
      </c>
      <c r="D45" s="28">
        <v>170128</v>
      </c>
      <c r="E45" s="18">
        <v>55259</v>
      </c>
      <c r="F45" s="18">
        <v>439804</v>
      </c>
      <c r="G45" s="28">
        <v>369537</v>
      </c>
      <c r="H45" s="28">
        <v>267627</v>
      </c>
      <c r="I45" s="18">
        <v>431747</v>
      </c>
      <c r="J45" s="18">
        <v>894429</v>
      </c>
    </row>
    <row r="46" spans="1:10" ht="13.5" customHeight="1">
      <c r="A46" s="218"/>
      <c r="B46" s="27" t="s">
        <v>58</v>
      </c>
      <c r="C46" s="28">
        <v>0</v>
      </c>
      <c r="D46" s="28">
        <v>0</v>
      </c>
      <c r="E46" s="18">
        <v>0</v>
      </c>
      <c r="F46" s="18">
        <v>0</v>
      </c>
      <c r="G46" s="28">
        <v>0</v>
      </c>
      <c r="H46" s="28">
        <v>0</v>
      </c>
      <c r="I46" s="18">
        <v>0</v>
      </c>
      <c r="J46" s="18">
        <v>0</v>
      </c>
    </row>
    <row r="47" spans="1:10" ht="13.5" customHeight="1">
      <c r="A47" s="218"/>
      <c r="B47" s="27" t="s">
        <v>74</v>
      </c>
      <c r="C47" s="28">
        <v>0</v>
      </c>
      <c r="D47" s="28">
        <v>248307</v>
      </c>
      <c r="E47" s="18">
        <v>0</v>
      </c>
      <c r="F47" s="18">
        <v>0</v>
      </c>
      <c r="G47" s="28">
        <v>276420</v>
      </c>
      <c r="H47" s="28">
        <v>0</v>
      </c>
      <c r="I47" s="18">
        <v>197253</v>
      </c>
      <c r="J47" s="18">
        <v>0</v>
      </c>
    </row>
    <row r="48" spans="1:10" ht="13.5" customHeight="1">
      <c r="A48" s="218"/>
      <c r="B48" s="27" t="s">
        <v>75</v>
      </c>
      <c r="C48" s="28">
        <v>27939</v>
      </c>
      <c r="D48" s="28">
        <v>26516</v>
      </c>
      <c r="E48" s="18">
        <v>0</v>
      </c>
      <c r="F48" s="18">
        <v>12395</v>
      </c>
      <c r="G48" s="28">
        <v>9533</v>
      </c>
      <c r="H48" s="28">
        <v>4907</v>
      </c>
      <c r="I48" s="18">
        <v>0</v>
      </c>
      <c r="J48" s="18">
        <v>0</v>
      </c>
    </row>
    <row r="49" spans="1:10" ht="13.5" customHeight="1">
      <c r="A49" s="218"/>
      <c r="B49" s="27" t="s">
        <v>76</v>
      </c>
      <c r="C49" s="28">
        <v>5510</v>
      </c>
      <c r="D49" s="28">
        <v>31242</v>
      </c>
      <c r="E49" s="18">
        <v>-631</v>
      </c>
      <c r="F49" s="18">
        <v>278</v>
      </c>
      <c r="G49" s="28">
        <v>-10806</v>
      </c>
      <c r="H49" s="28">
        <v>1691</v>
      </c>
      <c r="I49" s="18">
        <v>84164</v>
      </c>
      <c r="J49" s="18">
        <v>0</v>
      </c>
    </row>
    <row r="50" spans="1:10" ht="13.5" customHeight="1">
      <c r="A50" s="218"/>
      <c r="B50" s="27" t="s">
        <v>77</v>
      </c>
      <c r="C50" s="28">
        <v>-4</v>
      </c>
      <c r="D50" s="28">
        <v>2554</v>
      </c>
      <c r="E50" s="18">
        <v>5583</v>
      </c>
      <c r="F50" s="18">
        <v>2328</v>
      </c>
      <c r="G50" s="28">
        <v>561</v>
      </c>
      <c r="H50" s="28">
        <v>1150</v>
      </c>
      <c r="I50" s="18">
        <v>-70</v>
      </c>
      <c r="J50" s="18">
        <v>188</v>
      </c>
    </row>
    <row r="51" spans="1:10" ht="13.5" customHeight="1">
      <c r="A51" s="218"/>
      <c r="B51" s="27" t="s">
        <v>78</v>
      </c>
      <c r="C51" s="28">
        <v>0</v>
      </c>
      <c r="D51" s="28">
        <v>0</v>
      </c>
      <c r="E51" s="18">
        <v>0</v>
      </c>
      <c r="F51" s="18">
        <v>1</v>
      </c>
      <c r="G51" s="28">
        <v>-87</v>
      </c>
      <c r="H51" s="28">
        <v>0</v>
      </c>
      <c r="I51" s="18">
        <v>0</v>
      </c>
      <c r="J51" s="18">
        <v>0</v>
      </c>
    </row>
    <row r="52" spans="1:10" s="20" customFormat="1" ht="13.5" customHeight="1" thickBot="1">
      <c r="A52" s="214" t="s">
        <v>79</v>
      </c>
      <c r="B52" s="30"/>
      <c r="C52" s="31">
        <f t="shared" ref="C52:I52" si="4">SUM(C34:C51)</f>
        <v>2113093</v>
      </c>
      <c r="D52" s="31">
        <f t="shared" si="4"/>
        <v>2423204</v>
      </c>
      <c r="E52" s="31">
        <f t="shared" si="4"/>
        <v>2151793</v>
      </c>
      <c r="F52" s="31">
        <f t="shared" si="4"/>
        <v>1793128</v>
      </c>
      <c r="G52" s="31">
        <f t="shared" si="4"/>
        <v>2739398</v>
      </c>
      <c r="H52" s="31">
        <f t="shared" si="4"/>
        <v>1754721</v>
      </c>
      <c r="I52" s="31">
        <f t="shared" si="4"/>
        <v>2612668</v>
      </c>
      <c r="J52" s="31">
        <f t="shared" ref="J52" si="5">SUM(J34:J51)</f>
        <v>2572951</v>
      </c>
    </row>
    <row r="53" spans="1:10" ht="13.5" customHeight="1">
      <c r="A53" s="225" t="s">
        <v>80</v>
      </c>
      <c r="B53" s="68"/>
      <c r="C53" s="69"/>
      <c r="D53" s="69"/>
      <c r="E53" s="71"/>
      <c r="F53" s="71"/>
      <c r="G53" s="69"/>
      <c r="H53" s="69"/>
      <c r="I53" s="71"/>
      <c r="J53" s="71"/>
    </row>
    <row r="54" spans="1:10" s="20" customFormat="1" ht="13.5" customHeight="1">
      <c r="A54" s="215"/>
      <c r="B54" s="21" t="s">
        <v>81</v>
      </c>
      <c r="C54" s="22">
        <v>180562</v>
      </c>
      <c r="D54" s="22">
        <v>189138</v>
      </c>
      <c r="E54" s="22">
        <v>236407</v>
      </c>
      <c r="F54" s="22">
        <v>96887</v>
      </c>
      <c r="G54" s="22">
        <v>133368</v>
      </c>
      <c r="H54" s="22">
        <v>107389</v>
      </c>
      <c r="I54" s="22">
        <v>233104</v>
      </c>
      <c r="J54" s="22">
        <v>51617</v>
      </c>
    </row>
    <row r="55" spans="1:10" s="20" customFormat="1" ht="13.5" customHeight="1">
      <c r="A55" s="219"/>
      <c r="B55" s="33" t="s">
        <v>199</v>
      </c>
      <c r="C55" s="22">
        <v>-393882</v>
      </c>
      <c r="D55" s="39">
        <v>248074</v>
      </c>
      <c r="E55" s="39">
        <v>-162500</v>
      </c>
      <c r="F55" s="39">
        <v>-509183</v>
      </c>
      <c r="G55" s="39">
        <v>-231888</v>
      </c>
      <c r="H55" s="39">
        <v>-199536</v>
      </c>
      <c r="I55" s="39">
        <v>5569</v>
      </c>
      <c r="J55" s="39">
        <v>0</v>
      </c>
    </row>
    <row r="56" spans="1:10" s="20" customFormat="1" ht="13.5" customHeight="1">
      <c r="A56" s="192" t="s">
        <v>200</v>
      </c>
      <c r="B56" s="33"/>
      <c r="C56" s="22">
        <f t="shared" ref="C56:I56" si="6">+C32-C52</f>
        <v>101244</v>
      </c>
      <c r="D56" s="22">
        <f t="shared" si="6"/>
        <v>230721</v>
      </c>
      <c r="E56" s="22">
        <f t="shared" si="6"/>
        <v>26081</v>
      </c>
      <c r="F56" s="22">
        <f t="shared" si="6"/>
        <v>75288</v>
      </c>
      <c r="G56" s="22">
        <f t="shared" si="6"/>
        <v>11279</v>
      </c>
      <c r="H56" s="22">
        <f t="shared" si="6"/>
        <v>26010</v>
      </c>
      <c r="I56" s="22">
        <f t="shared" si="6"/>
        <v>28405</v>
      </c>
      <c r="J56" s="22">
        <f t="shared" ref="J56" si="7">+J32-J52</f>
        <v>141670</v>
      </c>
    </row>
    <row r="57" spans="1:10" s="20" customFormat="1" ht="13.5" customHeight="1">
      <c r="A57" s="192" t="s">
        <v>201</v>
      </c>
      <c r="B57" s="33"/>
      <c r="C57" s="22">
        <f>+C32-C52-C54-C55</f>
        <v>314564</v>
      </c>
      <c r="D57" s="22">
        <f t="shared" ref="D57:I57" si="8">+D32-D52-D54-D55</f>
        <v>-206491</v>
      </c>
      <c r="E57" s="22">
        <f t="shared" si="8"/>
        <v>-47826</v>
      </c>
      <c r="F57" s="22">
        <f t="shared" si="8"/>
        <v>487584</v>
      </c>
      <c r="G57" s="22">
        <f t="shared" si="8"/>
        <v>109799</v>
      </c>
      <c r="H57" s="22">
        <f t="shared" si="8"/>
        <v>118157</v>
      </c>
      <c r="I57" s="22">
        <f t="shared" si="8"/>
        <v>-210268</v>
      </c>
      <c r="J57" s="22">
        <f t="shared" ref="J57" si="9">+J32-J52-J54-J55</f>
        <v>90053</v>
      </c>
    </row>
    <row r="58" spans="1:10" s="20" customFormat="1" ht="13.5" customHeight="1">
      <c r="A58" s="192" t="s">
        <v>202</v>
      </c>
      <c r="B58" s="33"/>
      <c r="C58" s="22">
        <f t="shared" ref="C58:I58" si="10">+C12+C13+C14+C32+-C52</f>
        <v>537176</v>
      </c>
      <c r="D58" s="22">
        <f t="shared" si="10"/>
        <v>268623</v>
      </c>
      <c r="E58" s="22">
        <f t="shared" si="10"/>
        <v>72478</v>
      </c>
      <c r="F58" s="22">
        <f t="shared" si="10"/>
        <v>110932</v>
      </c>
      <c r="G58" s="22">
        <f t="shared" si="10"/>
        <v>46923</v>
      </c>
      <c r="H58" s="22">
        <f t="shared" si="10"/>
        <v>215224</v>
      </c>
      <c r="I58" s="22">
        <f t="shared" si="10"/>
        <v>108157</v>
      </c>
      <c r="J58" s="22">
        <f t="shared" ref="J58" si="11">+J12+J13+J14+J32+-J52</f>
        <v>141670</v>
      </c>
    </row>
    <row r="59" spans="1:10" s="20" customFormat="1" ht="13.5" customHeight="1">
      <c r="A59" s="192" t="s">
        <v>203</v>
      </c>
      <c r="B59" s="33"/>
      <c r="C59" s="22">
        <f>+C12+C13+C14+C32-C52-C54-C55</f>
        <v>750496</v>
      </c>
      <c r="D59" s="22">
        <f t="shared" ref="D59:I59" si="12">+D12+D13+D14+D32-D52-D54-D55</f>
        <v>-168589</v>
      </c>
      <c r="E59" s="22">
        <f t="shared" si="12"/>
        <v>-1429</v>
      </c>
      <c r="F59" s="22">
        <f t="shared" si="12"/>
        <v>523228</v>
      </c>
      <c r="G59" s="22">
        <f t="shared" si="12"/>
        <v>145443</v>
      </c>
      <c r="H59" s="22">
        <f t="shared" si="12"/>
        <v>307371</v>
      </c>
      <c r="I59" s="22">
        <f t="shared" si="12"/>
        <v>-130516</v>
      </c>
      <c r="J59" s="22">
        <f t="shared" ref="J59" si="13">+J12+J13+J14+J32-J52-J54-J55</f>
        <v>90053</v>
      </c>
    </row>
    <row r="60" spans="1:10" ht="13.5" customHeight="1">
      <c r="A60" s="213" t="s">
        <v>219</v>
      </c>
      <c r="B60" s="11"/>
      <c r="C60" s="35"/>
      <c r="D60" s="35"/>
      <c r="E60" s="35"/>
      <c r="F60" s="36"/>
      <c r="G60" s="35"/>
      <c r="H60" s="35"/>
      <c r="I60" s="35"/>
      <c r="J60" s="35"/>
    </row>
    <row r="61" spans="1:10" ht="13.5" customHeight="1">
      <c r="A61" s="217"/>
      <c r="B61" s="23" t="s">
        <v>39</v>
      </c>
      <c r="C61" s="29">
        <v>-31323</v>
      </c>
      <c r="D61" s="29">
        <v>563144</v>
      </c>
      <c r="E61" s="29">
        <v>-311463</v>
      </c>
      <c r="F61" s="16">
        <v>974759</v>
      </c>
      <c r="G61" s="16">
        <v>276253</v>
      </c>
      <c r="H61" s="16">
        <v>151017</v>
      </c>
      <c r="I61" s="16">
        <v>404539</v>
      </c>
      <c r="J61" s="16">
        <v>461647</v>
      </c>
    </row>
    <row r="62" spans="1:10" ht="13.5" customHeight="1">
      <c r="A62" s="217"/>
      <c r="B62" s="23" t="s">
        <v>212</v>
      </c>
      <c r="C62" s="29">
        <v>-766933</v>
      </c>
      <c r="D62" s="29">
        <v>-1106804</v>
      </c>
      <c r="E62" s="29">
        <v>-1011280</v>
      </c>
      <c r="F62" s="16">
        <v>-253773</v>
      </c>
      <c r="G62" s="16">
        <v>-781898</v>
      </c>
      <c r="H62" s="16">
        <v>-474659</v>
      </c>
      <c r="I62" s="16">
        <v>-1087425</v>
      </c>
      <c r="J62" s="16">
        <v>0</v>
      </c>
    </row>
    <row r="63" spans="1:10" ht="13.5" customHeight="1">
      <c r="A63" s="217"/>
      <c r="B63" s="23" t="s">
        <v>40</v>
      </c>
      <c r="C63" s="29">
        <v>1861</v>
      </c>
      <c r="D63" s="29">
        <v>0</v>
      </c>
      <c r="E63" s="29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</row>
    <row r="64" spans="1:10" s="37" customFormat="1" ht="13.5" customHeight="1">
      <c r="A64" s="217"/>
      <c r="B64" s="23" t="s">
        <v>41</v>
      </c>
      <c r="C64" s="29">
        <v>2361911</v>
      </c>
      <c r="D64" s="29">
        <v>3524601</v>
      </c>
      <c r="E64" s="29">
        <v>2052433</v>
      </c>
      <c r="F64" s="16">
        <v>1536156</v>
      </c>
      <c r="G64" s="16">
        <v>1832898</v>
      </c>
      <c r="H64" s="16">
        <v>2027950</v>
      </c>
      <c r="I64" s="16">
        <v>3978661</v>
      </c>
      <c r="J64" s="16">
        <v>2352872</v>
      </c>
    </row>
    <row r="65" spans="1:10" s="20" customFormat="1" ht="13.5" customHeight="1">
      <c r="A65" s="192"/>
      <c r="B65" s="38" t="s">
        <v>43</v>
      </c>
      <c r="C65" s="52">
        <f>SUM(C61:C64)</f>
        <v>1565516</v>
      </c>
      <c r="D65" s="52">
        <f t="shared" ref="D65:I65" si="14">SUM(D61:D64)</f>
        <v>2980941</v>
      </c>
      <c r="E65" s="52">
        <f t="shared" si="14"/>
        <v>729690</v>
      </c>
      <c r="F65" s="52">
        <f t="shared" si="14"/>
        <v>2257142</v>
      </c>
      <c r="G65" s="52">
        <f t="shared" si="14"/>
        <v>1327253</v>
      </c>
      <c r="H65" s="52">
        <f t="shared" si="14"/>
        <v>1704308</v>
      </c>
      <c r="I65" s="52">
        <f t="shared" si="14"/>
        <v>3295775</v>
      </c>
      <c r="J65" s="52">
        <f t="shared" ref="J65" si="15">SUM(J61:J64)</f>
        <v>2814519</v>
      </c>
    </row>
    <row r="66" spans="1:10" s="158" customFormat="1" ht="13.5" customHeight="1">
      <c r="A66" s="221" t="s">
        <v>82</v>
      </c>
      <c r="B66" s="221"/>
      <c r="C66" s="232">
        <f t="shared" ref="C66:I66" si="16">C61/(C52)</f>
        <v>-1.4823294573404956E-2</v>
      </c>
      <c r="D66" s="232">
        <f t="shared" si="16"/>
        <v>0.23239644701808018</v>
      </c>
      <c r="E66" s="232">
        <f t="shared" si="16"/>
        <v>-0.14474580036276724</v>
      </c>
      <c r="F66" s="232">
        <f t="shared" si="16"/>
        <v>0.54360815290375253</v>
      </c>
      <c r="G66" s="232">
        <f t="shared" si="16"/>
        <v>0.10084441910229912</v>
      </c>
      <c r="H66" s="232">
        <f t="shared" si="16"/>
        <v>8.6063254500288081E-2</v>
      </c>
      <c r="I66" s="232">
        <f t="shared" si="16"/>
        <v>0.15483750710002189</v>
      </c>
      <c r="J66" s="231">
        <f t="shared" ref="J66" si="17">J61/(J52)</f>
        <v>0.17942316040997283</v>
      </c>
    </row>
    <row r="67" spans="1:10" hidden="1">
      <c r="A67" s="53"/>
      <c r="B67" s="53" t="s">
        <v>83</v>
      </c>
      <c r="C67" s="73">
        <f>+C10+C12+C13+C14+C32-C52-C54-C65-C55</f>
        <v>399</v>
      </c>
      <c r="D67" s="73">
        <f t="shared" ref="D67:I67" si="18">+D10+D12+D13+D14+D32-D52-D54-D65-D55</f>
        <v>1</v>
      </c>
      <c r="E67" s="73">
        <f t="shared" si="18"/>
        <v>-1</v>
      </c>
      <c r="F67" s="73">
        <f t="shared" si="18"/>
        <v>50</v>
      </c>
      <c r="G67" s="73">
        <f t="shared" si="18"/>
        <v>0</v>
      </c>
      <c r="H67" s="73">
        <f t="shared" si="18"/>
        <v>3</v>
      </c>
      <c r="I67" s="73">
        <f t="shared" si="18"/>
        <v>4</v>
      </c>
      <c r="J67" s="62">
        <f t="shared" ref="J67" si="19">+J10+J12+J13+J14+J32-J52-J54-J65-J55</f>
        <v>-1</v>
      </c>
    </row>
    <row r="68" spans="1:10" hidden="1">
      <c r="A68" s="53"/>
      <c r="B68" s="53"/>
      <c r="C68" s="73">
        <f t="shared" ref="C68:I68" si="20">+C10+C59-C65</f>
        <v>399</v>
      </c>
      <c r="D68" s="73">
        <f t="shared" si="20"/>
        <v>1</v>
      </c>
      <c r="E68" s="73">
        <f t="shared" si="20"/>
        <v>-1</v>
      </c>
      <c r="F68" s="62">
        <f t="shared" si="20"/>
        <v>50</v>
      </c>
      <c r="G68" s="62">
        <f t="shared" si="20"/>
        <v>0</v>
      </c>
      <c r="H68" s="73">
        <f t="shared" si="20"/>
        <v>3</v>
      </c>
      <c r="I68" s="73">
        <f t="shared" si="20"/>
        <v>4</v>
      </c>
      <c r="J68" s="73">
        <f t="shared" ref="J68" si="21">+J10+J59-J65</f>
        <v>-1</v>
      </c>
    </row>
    <row r="69" spans="1:10">
      <c r="A69" s="53"/>
      <c r="B69" s="53"/>
      <c r="C69" s="73"/>
      <c r="D69" s="73"/>
      <c r="E69" s="73"/>
      <c r="F69" s="62"/>
      <c r="G69" s="62"/>
      <c r="H69" s="73"/>
      <c r="I69" s="73"/>
      <c r="J69" s="73"/>
    </row>
    <row r="70" spans="1:10" ht="12.75" customHeight="1">
      <c r="A70" s="140" t="s">
        <v>193</v>
      </c>
      <c r="B70" s="98"/>
      <c r="C70" s="98"/>
      <c r="D70" s="98"/>
      <c r="E70" s="73"/>
      <c r="F70" s="62"/>
      <c r="G70" s="62"/>
      <c r="H70" s="73"/>
      <c r="I70" s="73"/>
      <c r="J70" s="73"/>
    </row>
    <row r="71" spans="1:10" ht="12.75" customHeight="1">
      <c r="A71" s="137" t="s">
        <v>194</v>
      </c>
      <c r="B71" s="98"/>
      <c r="C71" s="98"/>
      <c r="D71" s="98"/>
    </row>
    <row r="72" spans="1:10" ht="12.75" customHeight="1">
      <c r="A72" s="138" t="s">
        <v>84</v>
      </c>
      <c r="B72" s="98"/>
      <c r="C72" s="98"/>
      <c r="D72" s="98"/>
    </row>
    <row r="73" spans="1:10">
      <c r="A73" s="139"/>
      <c r="B73" s="48"/>
      <c r="C73" s="48"/>
      <c r="D73" s="48"/>
    </row>
    <row r="74" spans="1:10" ht="12.75" customHeight="1">
      <c r="A74" s="137" t="s">
        <v>195</v>
      </c>
      <c r="B74" s="98"/>
      <c r="C74" s="98"/>
      <c r="D74" s="98"/>
    </row>
    <row r="75" spans="1:10" ht="12.75" customHeight="1">
      <c r="A75" s="137" t="s">
        <v>85</v>
      </c>
      <c r="B75" s="98"/>
      <c r="C75" s="98"/>
      <c r="D75" s="98"/>
    </row>
    <row r="76" spans="1:10" ht="12.75" customHeight="1">
      <c r="A76" s="137" t="s">
        <v>86</v>
      </c>
      <c r="B76" s="5"/>
      <c r="C76" s="1"/>
      <c r="D76" s="1"/>
    </row>
    <row r="77" spans="1:10">
      <c r="A77" s="104"/>
      <c r="B77" s="104"/>
      <c r="C77" s="104"/>
      <c r="D77" s="104"/>
    </row>
    <row r="78" spans="1:10">
      <c r="A78" s="274"/>
      <c r="B78" s="275"/>
      <c r="C78" s="211"/>
      <c r="D78" s="211"/>
      <c r="E78" s="211"/>
      <c r="F78" s="211"/>
      <c r="G78" s="211"/>
      <c r="H78" s="211"/>
      <c r="I78" s="211"/>
      <c r="J78" s="211"/>
    </row>
    <row r="79" spans="1:10" ht="72" customHeight="1">
      <c r="A79" s="276"/>
      <c r="B79" s="277"/>
      <c r="C79" s="207" t="str">
        <f t="shared" ref="C79:I79" si="22">C2</f>
        <v>7th DAA, Monterey County Fair</v>
      </c>
      <c r="D79" s="207" t="str">
        <f t="shared" si="22"/>
        <v>17th DAA, Nevada County Fair</v>
      </c>
      <c r="E79" s="207" t="str">
        <f t="shared" si="22"/>
        <v>19th DAA,     Santa Barbara Fair</v>
      </c>
      <c r="F79" s="207" t="str">
        <f t="shared" si="22"/>
        <v>24th DAA, 
Tulare County Fair</v>
      </c>
      <c r="G79" s="207" t="str">
        <f t="shared" si="22"/>
        <v>28th DAA,       San Bernardino County Fair</v>
      </c>
      <c r="H79" s="207" t="str">
        <f t="shared" si="22"/>
        <v>35th DAA, Merced County Fair</v>
      </c>
      <c r="I79" s="207" t="str">
        <f t="shared" si="22"/>
        <v>37th DAA,     Santa Maria Fair Park</v>
      </c>
      <c r="J79" s="207" t="str">
        <f t="shared" ref="J79" si="23">J2</f>
        <v>Marin County Fair</v>
      </c>
    </row>
    <row r="80" spans="1:10" ht="13.5" customHeight="1">
      <c r="A80" s="213" t="s">
        <v>87</v>
      </c>
      <c r="B80" s="27"/>
      <c r="C80" s="50"/>
      <c r="D80" s="50"/>
      <c r="E80" s="51"/>
      <c r="F80" s="51"/>
      <c r="G80" s="50"/>
      <c r="H80" s="50"/>
      <c r="I80" s="51"/>
      <c r="J80" s="51"/>
    </row>
    <row r="81" spans="1:10" ht="13.5" customHeight="1">
      <c r="A81" s="213" t="s">
        <v>88</v>
      </c>
      <c r="B81" s="27"/>
      <c r="C81" s="50"/>
      <c r="D81" s="50"/>
      <c r="E81" s="51"/>
      <c r="F81" s="51"/>
      <c r="G81" s="50"/>
      <c r="H81" s="50"/>
      <c r="I81" s="51"/>
      <c r="J81" s="51"/>
    </row>
    <row r="82" spans="1:10" ht="13.5" customHeight="1">
      <c r="A82" s="218"/>
      <c r="B82" s="27" t="s">
        <v>89</v>
      </c>
      <c r="C82" s="28"/>
      <c r="D82" s="28"/>
      <c r="E82" s="18"/>
      <c r="F82" s="18"/>
      <c r="G82" s="28"/>
      <c r="H82" s="28"/>
      <c r="I82" s="18"/>
      <c r="J82" s="18"/>
    </row>
    <row r="83" spans="1:10" ht="13.5" customHeight="1">
      <c r="A83" s="218"/>
      <c r="B83" s="27" t="s">
        <v>90</v>
      </c>
      <c r="C83" s="13">
        <v>3460</v>
      </c>
      <c r="D83" s="13">
        <v>0</v>
      </c>
      <c r="E83" s="14">
        <v>0</v>
      </c>
      <c r="F83" s="14">
        <v>0</v>
      </c>
      <c r="G83" s="13">
        <v>13318</v>
      </c>
      <c r="H83" s="13">
        <v>0</v>
      </c>
      <c r="I83" s="14">
        <v>836012</v>
      </c>
      <c r="J83" s="14">
        <v>0</v>
      </c>
    </row>
    <row r="84" spans="1:10" ht="13.5" customHeight="1">
      <c r="A84" s="218"/>
      <c r="B84" s="27" t="s">
        <v>91</v>
      </c>
      <c r="C84" s="28">
        <v>80929</v>
      </c>
      <c r="D84" s="28">
        <v>643352</v>
      </c>
      <c r="E84" s="18">
        <v>7817</v>
      </c>
      <c r="F84" s="18">
        <v>1347805</v>
      </c>
      <c r="G84" s="28">
        <v>447205</v>
      </c>
      <c r="H84" s="28">
        <v>532920</v>
      </c>
      <c r="I84" s="18">
        <v>237907</v>
      </c>
      <c r="J84" s="18">
        <v>468065</v>
      </c>
    </row>
    <row r="85" spans="1:10" ht="13.5" customHeight="1">
      <c r="A85" s="218"/>
      <c r="B85" s="27" t="s">
        <v>92</v>
      </c>
      <c r="C85" s="28">
        <v>142998</v>
      </c>
      <c r="D85" s="28">
        <v>260994</v>
      </c>
      <c r="E85" s="18">
        <v>19016</v>
      </c>
      <c r="F85" s="18">
        <v>104155</v>
      </c>
      <c r="G85" s="28">
        <v>208326</v>
      </c>
      <c r="H85" s="28">
        <v>42481</v>
      </c>
      <c r="I85" s="18">
        <v>19850</v>
      </c>
      <c r="J85" s="18">
        <v>0</v>
      </c>
    </row>
    <row r="86" spans="1:10" ht="13.5" customHeight="1">
      <c r="A86" s="218"/>
      <c r="B86" s="27" t="s">
        <v>93</v>
      </c>
      <c r="C86" s="28">
        <v>0</v>
      </c>
      <c r="D86" s="28">
        <v>10610</v>
      </c>
      <c r="E86" s="18">
        <v>5458</v>
      </c>
      <c r="F86" s="18">
        <v>0</v>
      </c>
      <c r="G86" s="28">
        <v>4552</v>
      </c>
      <c r="H86" s="28">
        <v>1139</v>
      </c>
      <c r="I86" s="18">
        <v>7014</v>
      </c>
      <c r="J86" s="18">
        <v>0</v>
      </c>
    </row>
    <row r="87" spans="1:10" ht="13.5" customHeight="1">
      <c r="A87" s="218"/>
      <c r="B87" s="27" t="s">
        <v>94</v>
      </c>
      <c r="C87" s="28">
        <v>0</v>
      </c>
      <c r="D87" s="28">
        <v>1809</v>
      </c>
      <c r="E87" s="18">
        <v>0</v>
      </c>
      <c r="F87" s="18">
        <v>0</v>
      </c>
      <c r="G87" s="28">
        <v>0</v>
      </c>
      <c r="H87" s="28">
        <v>0</v>
      </c>
      <c r="I87" s="18">
        <v>0</v>
      </c>
      <c r="J87" s="18">
        <v>0</v>
      </c>
    </row>
    <row r="88" spans="1:10" ht="13.5" customHeight="1">
      <c r="A88" s="218"/>
      <c r="B88" s="27" t="s">
        <v>95</v>
      </c>
      <c r="C88" s="28">
        <v>0</v>
      </c>
      <c r="D88" s="28">
        <v>13621</v>
      </c>
      <c r="E88" s="18">
        <v>3360</v>
      </c>
      <c r="F88" s="18">
        <v>0</v>
      </c>
      <c r="G88" s="28">
        <v>38656</v>
      </c>
      <c r="H88" s="28">
        <v>2132</v>
      </c>
      <c r="I88" s="18">
        <v>151061</v>
      </c>
      <c r="J88" s="18">
        <v>0</v>
      </c>
    </row>
    <row r="89" spans="1:10" ht="13.5" customHeight="1">
      <c r="A89" s="218"/>
      <c r="B89" s="27" t="s">
        <v>96</v>
      </c>
      <c r="C89" s="28">
        <v>31340</v>
      </c>
      <c r="D89" s="28">
        <v>1018037</v>
      </c>
      <c r="E89" s="18">
        <v>213778</v>
      </c>
      <c r="F89" s="18">
        <v>489069</v>
      </c>
      <c r="G89" s="28">
        <v>22055</v>
      </c>
      <c r="H89" s="28">
        <v>179771</v>
      </c>
      <c r="I89" s="18">
        <v>98142</v>
      </c>
      <c r="J89" s="18">
        <v>1777659</v>
      </c>
    </row>
    <row r="90" spans="1:10" ht="13.5" customHeight="1">
      <c r="A90" s="218"/>
      <c r="B90" s="27" t="s">
        <v>97</v>
      </c>
      <c r="C90" s="28">
        <v>6189779</v>
      </c>
      <c r="D90" s="28">
        <v>6720748</v>
      </c>
      <c r="E90" s="18">
        <v>7504668</v>
      </c>
      <c r="F90" s="18">
        <v>3775287</v>
      </c>
      <c r="G90" s="28">
        <v>3634727</v>
      </c>
      <c r="H90" s="28">
        <v>5422188</v>
      </c>
      <c r="I90" s="18">
        <v>6539735</v>
      </c>
      <c r="J90" s="18">
        <v>3715756</v>
      </c>
    </row>
    <row r="91" spans="1:10" ht="13.5" customHeight="1">
      <c r="A91" s="218"/>
      <c r="B91" s="27" t="s">
        <v>98</v>
      </c>
      <c r="C91" s="28">
        <v>257441</v>
      </c>
      <c r="D91" s="28">
        <v>285013</v>
      </c>
      <c r="E91" s="18">
        <v>217073</v>
      </c>
      <c r="F91" s="18">
        <v>270525</v>
      </c>
      <c r="G91" s="28">
        <v>234350</v>
      </c>
      <c r="H91" s="28">
        <v>270866</v>
      </c>
      <c r="I91" s="18">
        <v>561553</v>
      </c>
      <c r="J91" s="237">
        <v>58842</v>
      </c>
    </row>
    <row r="92" spans="1:10" ht="13.5" customHeight="1">
      <c r="A92" s="218"/>
      <c r="B92" s="27" t="s">
        <v>99</v>
      </c>
      <c r="C92" s="28">
        <v>0</v>
      </c>
      <c r="D92" s="28">
        <v>0</v>
      </c>
      <c r="E92" s="18">
        <v>1767878</v>
      </c>
      <c r="F92" s="18">
        <v>0</v>
      </c>
      <c r="G92" s="28">
        <v>1397303</v>
      </c>
      <c r="H92" s="28">
        <v>0</v>
      </c>
      <c r="I92" s="18">
        <v>1393941</v>
      </c>
      <c r="J92" s="18">
        <v>0</v>
      </c>
    </row>
    <row r="93" spans="1:10" ht="13.5" customHeight="1">
      <c r="A93" s="218"/>
      <c r="B93" s="27" t="s">
        <v>180</v>
      </c>
      <c r="C93" s="28">
        <v>0</v>
      </c>
      <c r="D93" s="28">
        <v>0</v>
      </c>
      <c r="E93" s="18">
        <v>0</v>
      </c>
      <c r="F93" s="18">
        <v>0</v>
      </c>
      <c r="G93" s="28">
        <v>0</v>
      </c>
      <c r="H93" s="28">
        <v>0</v>
      </c>
      <c r="I93" s="18">
        <v>0</v>
      </c>
      <c r="J93" s="18">
        <v>0</v>
      </c>
    </row>
    <row r="94" spans="1:10" ht="13.5" customHeight="1">
      <c r="A94" s="218"/>
      <c r="B94" s="27" t="s">
        <v>100</v>
      </c>
      <c r="C94" s="28">
        <f>-3865833-250816</f>
        <v>-4116649</v>
      </c>
      <c r="D94" s="28">
        <f>-4037923-222058</f>
        <v>-4259981</v>
      </c>
      <c r="E94" s="18">
        <f>-6167919-207073-883939</f>
        <v>-7258931</v>
      </c>
      <c r="F94" s="18">
        <f>-2775626-223099</f>
        <v>-2998725</v>
      </c>
      <c r="G94" s="28">
        <f>-2572866-222676-698652</f>
        <v>-3494194</v>
      </c>
      <c r="H94" s="28">
        <f>-3638930-208077</f>
        <v>-3847007</v>
      </c>
      <c r="I94" s="18">
        <f>-3559117-530280-511112</f>
        <v>-4600509</v>
      </c>
      <c r="J94" s="18">
        <f>-3140543-58842</f>
        <v>-3199385</v>
      </c>
    </row>
    <row r="95" spans="1:10" ht="13.5" customHeight="1">
      <c r="A95" s="218"/>
      <c r="B95" s="27" t="s">
        <v>159</v>
      </c>
      <c r="C95" s="28">
        <v>0</v>
      </c>
      <c r="D95" s="28">
        <v>0</v>
      </c>
      <c r="E95" s="18">
        <v>0</v>
      </c>
      <c r="F95" s="18">
        <v>0</v>
      </c>
      <c r="G95" s="28">
        <v>1</v>
      </c>
      <c r="H95" s="28"/>
      <c r="I95" s="18">
        <v>0</v>
      </c>
      <c r="J95" s="18">
        <v>0</v>
      </c>
    </row>
    <row r="96" spans="1:10" ht="13.5" customHeight="1">
      <c r="A96" s="201" t="s">
        <v>102</v>
      </c>
      <c r="B96" s="21"/>
      <c r="C96" s="22">
        <f>SUM(C82:C95)</f>
        <v>2589298</v>
      </c>
      <c r="D96" s="22">
        <f t="shared" ref="D96:I96" si="24">SUM(D82:D95)</f>
        <v>4694203</v>
      </c>
      <c r="E96" s="22">
        <f t="shared" si="24"/>
        <v>2480117</v>
      </c>
      <c r="F96" s="22">
        <f t="shared" si="24"/>
        <v>2988116</v>
      </c>
      <c r="G96" s="22">
        <f t="shared" si="24"/>
        <v>2506299</v>
      </c>
      <c r="H96" s="22">
        <f t="shared" si="24"/>
        <v>2604490</v>
      </c>
      <c r="I96" s="22">
        <f t="shared" si="24"/>
        <v>5244706</v>
      </c>
      <c r="J96" s="22">
        <f t="shared" ref="J96" si="25">SUM(J82:J95)</f>
        <v>2820937</v>
      </c>
    </row>
    <row r="97" spans="1:10" ht="13.5" customHeight="1">
      <c r="A97" s="201" t="s">
        <v>207</v>
      </c>
      <c r="B97" s="21"/>
      <c r="C97" s="22">
        <v>290979</v>
      </c>
      <c r="D97" s="22">
        <v>398422</v>
      </c>
      <c r="E97" s="22">
        <v>391991</v>
      </c>
      <c r="F97" s="22">
        <v>92092</v>
      </c>
      <c r="G97" s="22">
        <v>257564</v>
      </c>
      <c r="H97" s="22">
        <v>187546</v>
      </c>
      <c r="I97" s="22">
        <v>358797</v>
      </c>
      <c r="J97" s="22">
        <v>0</v>
      </c>
    </row>
    <row r="98" spans="1:10" s="20" customFormat="1" ht="13.5" customHeight="1">
      <c r="A98" s="223" t="s">
        <v>204</v>
      </c>
      <c r="B98" s="155"/>
      <c r="C98" s="156">
        <f>+C96+C97</f>
        <v>2880277</v>
      </c>
      <c r="D98" s="156">
        <f t="shared" ref="D98:I98" si="26">+D96+D97</f>
        <v>5092625</v>
      </c>
      <c r="E98" s="156">
        <f t="shared" si="26"/>
        <v>2872108</v>
      </c>
      <c r="F98" s="156">
        <f t="shared" si="26"/>
        <v>3080208</v>
      </c>
      <c r="G98" s="156">
        <f t="shared" si="26"/>
        <v>2763863</v>
      </c>
      <c r="H98" s="156">
        <f t="shared" si="26"/>
        <v>2792036</v>
      </c>
      <c r="I98" s="156">
        <f t="shared" si="26"/>
        <v>5603503</v>
      </c>
      <c r="J98" s="156">
        <f t="shared" ref="J98" si="27">+J96+J97</f>
        <v>2820937</v>
      </c>
    </row>
    <row r="99" spans="1:10" ht="13.5" customHeight="1">
      <c r="A99" s="213" t="s">
        <v>205</v>
      </c>
      <c r="B99" s="27"/>
      <c r="C99" s="49"/>
      <c r="D99" s="50"/>
      <c r="E99" s="51"/>
      <c r="F99" s="51"/>
      <c r="G99" s="50"/>
      <c r="H99" s="50"/>
      <c r="I99" s="51"/>
      <c r="J99" s="51"/>
    </row>
    <row r="100" spans="1:10" ht="13.5" customHeight="1">
      <c r="A100" s="218"/>
      <c r="B100" s="27" t="s">
        <v>103</v>
      </c>
      <c r="C100" s="28">
        <v>130</v>
      </c>
      <c r="D100" s="28">
        <v>0</v>
      </c>
      <c r="E100" s="18">
        <v>0</v>
      </c>
      <c r="F100" s="18">
        <v>4116.43</v>
      </c>
      <c r="G100" s="28">
        <v>0</v>
      </c>
      <c r="H100" s="28">
        <v>972</v>
      </c>
      <c r="I100" s="18">
        <v>0</v>
      </c>
      <c r="J100" s="18">
        <v>0</v>
      </c>
    </row>
    <row r="101" spans="1:10" ht="13.5" customHeight="1">
      <c r="A101" s="218"/>
      <c r="B101" s="27" t="s">
        <v>104</v>
      </c>
      <c r="C101" s="28">
        <v>33079</v>
      </c>
      <c r="D101" s="28">
        <v>110548</v>
      </c>
      <c r="E101" s="18">
        <v>54834</v>
      </c>
      <c r="F101" s="18">
        <v>121410</v>
      </c>
      <c r="G101" s="28">
        <v>183369</v>
      </c>
      <c r="H101" s="28">
        <v>3156</v>
      </c>
      <c r="I101" s="18">
        <v>18919</v>
      </c>
      <c r="J101" s="18">
        <v>6418</v>
      </c>
    </row>
    <row r="102" spans="1:10" ht="13.5" customHeight="1">
      <c r="A102" s="218"/>
      <c r="B102" s="27" t="s">
        <v>105</v>
      </c>
      <c r="C102" s="28">
        <v>8037</v>
      </c>
      <c r="D102" s="28">
        <v>36519</v>
      </c>
      <c r="E102" s="28">
        <v>15115</v>
      </c>
      <c r="F102" s="18">
        <v>5474</v>
      </c>
      <c r="G102" s="28">
        <v>23499</v>
      </c>
      <c r="H102" s="28">
        <v>26800</v>
      </c>
      <c r="I102" s="18">
        <v>14022</v>
      </c>
      <c r="J102" s="18">
        <v>0</v>
      </c>
    </row>
    <row r="103" spans="1:10" ht="13.5" customHeight="1">
      <c r="A103" s="218"/>
      <c r="B103" s="27" t="s">
        <v>106</v>
      </c>
      <c r="C103" s="28">
        <v>39591</v>
      </c>
      <c r="D103" s="28">
        <v>6750</v>
      </c>
      <c r="E103" s="18">
        <v>0</v>
      </c>
      <c r="F103" s="18">
        <v>21950</v>
      </c>
      <c r="G103" s="28">
        <v>15520</v>
      </c>
      <c r="H103" s="28">
        <v>120855</v>
      </c>
      <c r="I103" s="18">
        <v>39435</v>
      </c>
      <c r="J103" s="18">
        <v>0</v>
      </c>
    </row>
    <row r="104" spans="1:10" ht="13.5" customHeight="1">
      <c r="A104" s="218"/>
      <c r="B104" s="27" t="s">
        <v>107</v>
      </c>
      <c r="C104" s="28">
        <f>1200+39975</f>
        <v>41175</v>
      </c>
      <c r="D104" s="28">
        <v>5103</v>
      </c>
      <c r="E104" s="18">
        <v>88871</v>
      </c>
      <c r="F104" s="18">
        <v>0</v>
      </c>
      <c r="G104" s="28">
        <v>50245</v>
      </c>
      <c r="H104" s="28">
        <v>9113</v>
      </c>
      <c r="I104" s="18">
        <v>2500</v>
      </c>
      <c r="J104" s="18">
        <v>0</v>
      </c>
    </row>
    <row r="105" spans="1:10" ht="13.5" customHeight="1">
      <c r="A105" s="218"/>
      <c r="B105" s="27" t="s">
        <v>108</v>
      </c>
      <c r="C105" s="28">
        <v>30691</v>
      </c>
      <c r="D105" s="28">
        <v>6045</v>
      </c>
      <c r="E105" s="18">
        <v>11500</v>
      </c>
      <c r="F105" s="18">
        <v>13915.28</v>
      </c>
      <c r="G105" s="28">
        <v>18461</v>
      </c>
      <c r="H105" s="28">
        <v>0</v>
      </c>
      <c r="I105" s="18">
        <v>37700</v>
      </c>
      <c r="J105" s="18">
        <v>0</v>
      </c>
    </row>
    <row r="106" spans="1:10" ht="13.5" customHeight="1">
      <c r="A106" s="218"/>
      <c r="B106" s="27" t="s">
        <v>109</v>
      </c>
      <c r="C106" s="28">
        <v>84069</v>
      </c>
      <c r="D106" s="28">
        <v>189573</v>
      </c>
      <c r="E106" s="18">
        <v>173434</v>
      </c>
      <c r="F106" s="18">
        <v>60905</v>
      </c>
      <c r="G106" s="28">
        <v>92737</v>
      </c>
      <c r="H106" s="28">
        <v>44079</v>
      </c>
      <c r="I106" s="18">
        <v>94920</v>
      </c>
      <c r="J106" s="18">
        <v>0</v>
      </c>
    </row>
    <row r="107" spans="1:10" ht="13.5" customHeight="1">
      <c r="A107" s="218"/>
      <c r="B107" s="27" t="s">
        <v>110</v>
      </c>
      <c r="C107" s="28">
        <v>0</v>
      </c>
      <c r="D107" s="28">
        <v>251921</v>
      </c>
      <c r="E107" s="18">
        <v>395393</v>
      </c>
      <c r="F107" s="18">
        <v>0</v>
      </c>
      <c r="G107" s="28">
        <v>0</v>
      </c>
      <c r="H107" s="28">
        <v>0</v>
      </c>
      <c r="I107" s="18">
        <v>165263</v>
      </c>
      <c r="J107" s="18">
        <v>0</v>
      </c>
    </row>
    <row r="108" spans="1:10" ht="13.5" customHeight="1">
      <c r="A108" s="218"/>
      <c r="B108" s="27" t="s">
        <v>210</v>
      </c>
      <c r="C108" s="17">
        <v>1055488</v>
      </c>
      <c r="D108" s="28">
        <v>1501777</v>
      </c>
      <c r="E108" s="18">
        <v>1400057</v>
      </c>
      <c r="F108" s="18">
        <v>345073</v>
      </c>
      <c r="G108" s="28">
        <v>1037081</v>
      </c>
      <c r="H108" s="28">
        <v>660688</v>
      </c>
      <c r="I108" s="18">
        <v>1442908</v>
      </c>
      <c r="J108" s="18">
        <v>0</v>
      </c>
    </row>
    <row r="109" spans="1:10" ht="13.5" customHeight="1">
      <c r="A109" s="201" t="s">
        <v>209</v>
      </c>
      <c r="B109" s="21"/>
      <c r="C109" s="22">
        <f>SUM(C100:C108)</f>
        <v>1292260</v>
      </c>
      <c r="D109" s="22">
        <f t="shared" ref="D109:I109" si="28">SUM(D100:D108)</f>
        <v>2108236</v>
      </c>
      <c r="E109" s="22">
        <f t="shared" si="28"/>
        <v>2139204</v>
      </c>
      <c r="F109" s="22">
        <f t="shared" si="28"/>
        <v>572843.71</v>
      </c>
      <c r="G109" s="22">
        <f t="shared" si="28"/>
        <v>1420912</v>
      </c>
      <c r="H109" s="22">
        <f t="shared" si="28"/>
        <v>865663</v>
      </c>
      <c r="I109" s="22">
        <f t="shared" si="28"/>
        <v>1815667</v>
      </c>
      <c r="J109" s="22">
        <f t="shared" ref="J109" si="29">SUM(J100:J108)</f>
        <v>6418</v>
      </c>
    </row>
    <row r="110" spans="1:10" ht="13.5" customHeight="1">
      <c r="A110" s="201" t="s">
        <v>208</v>
      </c>
      <c r="B110" s="21"/>
      <c r="C110" s="22">
        <v>2424</v>
      </c>
      <c r="D110" s="22">
        <v>3448</v>
      </c>
      <c r="E110" s="22">
        <v>3215</v>
      </c>
      <c r="F110" s="22">
        <v>792</v>
      </c>
      <c r="G110" s="22">
        <v>2381</v>
      </c>
      <c r="H110" s="22">
        <v>1517</v>
      </c>
      <c r="I110" s="22">
        <v>3313</v>
      </c>
      <c r="J110" s="22">
        <v>0</v>
      </c>
    </row>
    <row r="111" spans="1:10" s="20" customFormat="1" ht="13.5" customHeight="1">
      <c r="A111" s="223" t="s">
        <v>206</v>
      </c>
      <c r="B111" s="155"/>
      <c r="C111" s="156">
        <f>+C109+C110</f>
        <v>1294684</v>
      </c>
      <c r="D111" s="156">
        <f t="shared" ref="D111:I111" si="30">+D109+D110</f>
        <v>2111684</v>
      </c>
      <c r="E111" s="156">
        <f t="shared" si="30"/>
        <v>2142419</v>
      </c>
      <c r="F111" s="156">
        <f t="shared" si="30"/>
        <v>573635.71</v>
      </c>
      <c r="G111" s="156">
        <f t="shared" si="30"/>
        <v>1423293</v>
      </c>
      <c r="H111" s="156">
        <f t="shared" si="30"/>
        <v>867180</v>
      </c>
      <c r="I111" s="156">
        <f t="shared" si="30"/>
        <v>1818980</v>
      </c>
      <c r="J111" s="156">
        <f t="shared" ref="J111" si="31">+J109+J110</f>
        <v>6418</v>
      </c>
    </row>
    <row r="112" spans="1:10" ht="13.5" customHeight="1">
      <c r="A112" s="213" t="s">
        <v>111</v>
      </c>
      <c r="B112" s="27"/>
      <c r="C112" s="50"/>
      <c r="D112" s="50"/>
      <c r="E112" s="51"/>
      <c r="F112" s="51"/>
      <c r="G112" s="50"/>
      <c r="H112" s="50"/>
      <c r="I112" s="51"/>
      <c r="J112" s="51"/>
    </row>
    <row r="113" spans="1:10" ht="13.5" customHeight="1">
      <c r="A113" s="218"/>
      <c r="B113" s="27" t="s">
        <v>112</v>
      </c>
      <c r="C113" s="28">
        <v>20077</v>
      </c>
      <c r="D113" s="28">
        <v>0</v>
      </c>
      <c r="E113" s="18">
        <v>0</v>
      </c>
      <c r="F113" s="18">
        <v>249430</v>
      </c>
      <c r="G113" s="28">
        <v>13318</v>
      </c>
      <c r="H113" s="28">
        <v>220547</v>
      </c>
      <c r="I113" s="18">
        <v>488747</v>
      </c>
      <c r="J113" s="18">
        <v>0</v>
      </c>
    </row>
    <row r="114" spans="1:10" ht="13.5" customHeight="1">
      <c r="A114" s="218"/>
      <c r="B114" s="27" t="s">
        <v>39</v>
      </c>
      <c r="C114" s="28">
        <f>C61</f>
        <v>-31323</v>
      </c>
      <c r="D114" s="28">
        <f t="shared" ref="D114:I114" si="32">D61</f>
        <v>563144</v>
      </c>
      <c r="E114" s="28">
        <f t="shared" si="32"/>
        <v>-311463</v>
      </c>
      <c r="F114" s="28">
        <f t="shared" si="32"/>
        <v>974759</v>
      </c>
      <c r="G114" s="28">
        <f t="shared" si="32"/>
        <v>276253</v>
      </c>
      <c r="H114" s="28">
        <f t="shared" si="32"/>
        <v>151017</v>
      </c>
      <c r="I114" s="28">
        <f t="shared" si="32"/>
        <v>404539</v>
      </c>
      <c r="J114" s="17">
        <f t="shared" ref="J114" si="33">J61</f>
        <v>461647</v>
      </c>
    </row>
    <row r="115" spans="1:10" ht="13.5" customHeight="1">
      <c r="A115" s="218"/>
      <c r="B115" s="27" t="s">
        <v>212</v>
      </c>
      <c r="C115" s="28">
        <f t="shared" ref="C115:I117" si="34">C62</f>
        <v>-766933</v>
      </c>
      <c r="D115" s="28">
        <f t="shared" si="34"/>
        <v>-1106804</v>
      </c>
      <c r="E115" s="28">
        <f t="shared" si="34"/>
        <v>-1011280</v>
      </c>
      <c r="F115" s="28">
        <f t="shared" si="34"/>
        <v>-253773</v>
      </c>
      <c r="G115" s="28">
        <f t="shared" si="34"/>
        <v>-781898</v>
      </c>
      <c r="H115" s="28">
        <f t="shared" si="34"/>
        <v>-474659</v>
      </c>
      <c r="I115" s="28">
        <f t="shared" si="34"/>
        <v>-1087425</v>
      </c>
      <c r="J115" s="17">
        <f t="shared" ref="J115" si="35">J62</f>
        <v>0</v>
      </c>
    </row>
    <row r="116" spans="1:10" ht="13.5" customHeight="1">
      <c r="A116" s="218"/>
      <c r="B116" s="27" t="s">
        <v>40</v>
      </c>
      <c r="C116" s="28">
        <f t="shared" si="34"/>
        <v>1861</v>
      </c>
      <c r="D116" s="28">
        <f t="shared" si="34"/>
        <v>0</v>
      </c>
      <c r="E116" s="28">
        <f t="shared" si="34"/>
        <v>0</v>
      </c>
      <c r="F116" s="28">
        <f t="shared" si="34"/>
        <v>0</v>
      </c>
      <c r="G116" s="28">
        <f t="shared" si="34"/>
        <v>0</v>
      </c>
      <c r="H116" s="28">
        <f t="shared" si="34"/>
        <v>0</v>
      </c>
      <c r="I116" s="28">
        <f t="shared" si="34"/>
        <v>0</v>
      </c>
      <c r="J116" s="17">
        <f t="shared" ref="J116" si="36">J63</f>
        <v>0</v>
      </c>
    </row>
    <row r="117" spans="1:10" ht="13.5" customHeight="1">
      <c r="A117" s="218"/>
      <c r="B117" s="27" t="s">
        <v>113</v>
      </c>
      <c r="C117" s="28">
        <f t="shared" si="34"/>
        <v>2361911</v>
      </c>
      <c r="D117" s="28">
        <f t="shared" si="34"/>
        <v>3524601</v>
      </c>
      <c r="E117" s="28">
        <f t="shared" si="34"/>
        <v>2052433</v>
      </c>
      <c r="F117" s="28">
        <f t="shared" si="34"/>
        <v>1536156</v>
      </c>
      <c r="G117" s="28">
        <f t="shared" si="34"/>
        <v>1832898</v>
      </c>
      <c r="H117" s="28">
        <f t="shared" si="34"/>
        <v>2027950</v>
      </c>
      <c r="I117" s="28">
        <f t="shared" si="34"/>
        <v>3978661</v>
      </c>
      <c r="J117" s="17">
        <f t="shared" ref="J117" si="37">J64</f>
        <v>2352872</v>
      </c>
    </row>
    <row r="118" spans="1:10" ht="13.5" customHeight="1">
      <c r="A118" s="224"/>
      <c r="B118" s="54" t="s">
        <v>159</v>
      </c>
      <c r="C118" s="56">
        <v>0</v>
      </c>
      <c r="D118" s="56">
        <v>0</v>
      </c>
      <c r="E118" s="57">
        <v>-1</v>
      </c>
      <c r="F118" s="57">
        <v>0</v>
      </c>
      <c r="G118" s="56">
        <v>-1</v>
      </c>
      <c r="H118" s="56">
        <v>1</v>
      </c>
      <c r="I118" s="57">
        <v>1</v>
      </c>
      <c r="J118" s="57"/>
    </row>
    <row r="119" spans="1:10" s="20" customFormat="1" ht="13.5" customHeight="1">
      <c r="A119" s="201" t="s">
        <v>43</v>
      </c>
      <c r="B119" s="58"/>
      <c r="C119" s="59">
        <f>SUM(C113:C118)</f>
        <v>1585593</v>
      </c>
      <c r="D119" s="59">
        <f t="shared" ref="D119:I119" si="38">SUM(D113:D118)</f>
        <v>2980941</v>
      </c>
      <c r="E119" s="59">
        <f t="shared" si="38"/>
        <v>729689</v>
      </c>
      <c r="F119" s="59">
        <f t="shared" si="38"/>
        <v>2506572</v>
      </c>
      <c r="G119" s="59">
        <f t="shared" si="38"/>
        <v>1340570</v>
      </c>
      <c r="H119" s="59">
        <f t="shared" si="38"/>
        <v>1924856</v>
      </c>
      <c r="I119" s="59">
        <f t="shared" si="38"/>
        <v>3784523</v>
      </c>
      <c r="J119" s="59">
        <f t="shared" ref="J119" si="39">SUM(J113:J118)</f>
        <v>2814519</v>
      </c>
    </row>
    <row r="120" spans="1:10" s="20" customFormat="1">
      <c r="A120" s="223" t="s">
        <v>211</v>
      </c>
      <c r="B120" s="155"/>
      <c r="C120" s="156">
        <f>SUM(C111:C118)</f>
        <v>2880277</v>
      </c>
      <c r="D120" s="156">
        <f t="shared" ref="D120:I120" si="40">SUM(D111:D118)</f>
        <v>5092625</v>
      </c>
      <c r="E120" s="156">
        <f t="shared" si="40"/>
        <v>2872108</v>
      </c>
      <c r="F120" s="156">
        <f t="shared" si="40"/>
        <v>3080207.71</v>
      </c>
      <c r="G120" s="156">
        <f t="shared" si="40"/>
        <v>2763863</v>
      </c>
      <c r="H120" s="156">
        <f t="shared" si="40"/>
        <v>2792036</v>
      </c>
      <c r="I120" s="156">
        <f t="shared" si="40"/>
        <v>5603503</v>
      </c>
      <c r="J120" s="156">
        <f t="shared" ref="J120" si="41">SUM(J111:J118)</f>
        <v>2820937</v>
      </c>
    </row>
    <row r="121" spans="1:10">
      <c r="B121" s="10" t="s">
        <v>83</v>
      </c>
      <c r="C121" s="88">
        <f t="shared" ref="C121:I121" si="42">+C98-C120</f>
        <v>0</v>
      </c>
      <c r="D121" s="88">
        <f t="shared" si="42"/>
        <v>0</v>
      </c>
      <c r="E121" s="88">
        <f t="shared" si="42"/>
        <v>0</v>
      </c>
      <c r="F121" s="88">
        <f t="shared" si="42"/>
        <v>0.2900000000372529</v>
      </c>
      <c r="G121" s="88">
        <f t="shared" si="42"/>
        <v>0</v>
      </c>
      <c r="H121" s="88">
        <f t="shared" si="42"/>
        <v>0</v>
      </c>
      <c r="I121" s="88">
        <f t="shared" si="42"/>
        <v>0</v>
      </c>
      <c r="J121" s="168">
        <f t="shared" ref="J121" si="43">+J98-J120</f>
        <v>0</v>
      </c>
    </row>
    <row r="122" spans="1:10">
      <c r="C122" s="88">
        <f>+C111+C119-C120</f>
        <v>0</v>
      </c>
      <c r="D122" s="88"/>
      <c r="E122" s="88"/>
      <c r="F122" s="88"/>
      <c r="G122" s="88"/>
      <c r="H122" s="88"/>
      <c r="I122" s="88"/>
      <c r="J122" s="79"/>
    </row>
    <row r="123" spans="1:10" ht="27.75" customHeight="1">
      <c r="A123" s="262" t="s">
        <v>114</v>
      </c>
      <c r="B123" s="263"/>
      <c r="C123" s="256">
        <f t="shared" ref="C123:I123" si="44">C56/(C32)</f>
        <v>4.5722037792802088E-2</v>
      </c>
      <c r="D123" s="256">
        <f t="shared" si="44"/>
        <v>8.6935764951910854E-2</v>
      </c>
      <c r="E123" s="256">
        <f t="shared" si="44"/>
        <v>1.1975440268812613E-2</v>
      </c>
      <c r="F123" s="256">
        <f t="shared" si="44"/>
        <v>4.0295094882510103E-2</v>
      </c>
      <c r="G123" s="256">
        <f t="shared" si="44"/>
        <v>4.1004450904268295E-3</v>
      </c>
      <c r="H123" s="256">
        <f t="shared" si="44"/>
        <v>1.4606361095527624E-2</v>
      </c>
      <c r="I123" s="256">
        <f t="shared" si="44"/>
        <v>1.0755098401293716E-2</v>
      </c>
      <c r="J123" s="256">
        <f t="shared" ref="J123" si="45">J56/(J32)</f>
        <v>5.218776396410401E-2</v>
      </c>
    </row>
    <row r="124" spans="1:10" ht="24">
      <c r="A124" s="192"/>
      <c r="B124" s="193" t="s">
        <v>115</v>
      </c>
      <c r="C124" s="256"/>
      <c r="D124" s="256"/>
      <c r="E124" s="256"/>
      <c r="F124" s="256"/>
      <c r="G124" s="256"/>
      <c r="H124" s="256"/>
      <c r="I124" s="256"/>
      <c r="J124" s="256"/>
    </row>
    <row r="125" spans="1:10" ht="14.25">
      <c r="A125" s="194" t="s">
        <v>188</v>
      </c>
      <c r="B125" s="195"/>
      <c r="C125" s="253">
        <f t="shared" ref="C125:I125" si="46">(SUM(C84:C85))/SUM(C100:C105)</f>
        <v>1.4664217467895195</v>
      </c>
      <c r="D125" s="253">
        <f t="shared" si="46"/>
        <v>5.4820477070893823</v>
      </c>
      <c r="E125" s="253">
        <f t="shared" si="46"/>
        <v>0.15754462188821042</v>
      </c>
      <c r="F125" s="253">
        <f t="shared" si="46"/>
        <v>8.7013683038893976</v>
      </c>
      <c r="G125" s="253">
        <f t="shared" si="46"/>
        <v>2.2519564127051743</v>
      </c>
      <c r="H125" s="253">
        <f t="shared" si="46"/>
        <v>3.5762293655529036</v>
      </c>
      <c r="I125" s="253">
        <f t="shared" si="46"/>
        <v>2.2896265633882886</v>
      </c>
      <c r="J125" s="253">
        <f t="shared" ref="J125" si="47">(SUM(J84:J85))/SUM(J100:J105)</f>
        <v>72.930040511062643</v>
      </c>
    </row>
    <row r="126" spans="1:10" ht="36">
      <c r="A126" s="196"/>
      <c r="B126" s="197" t="s">
        <v>189</v>
      </c>
      <c r="C126" s="254"/>
      <c r="D126" s="254"/>
      <c r="E126" s="254"/>
      <c r="F126" s="254"/>
      <c r="G126" s="254"/>
      <c r="H126" s="254"/>
      <c r="I126" s="254"/>
      <c r="J126" s="254"/>
    </row>
    <row r="127" spans="1:10" ht="14.25">
      <c r="A127" s="194" t="s">
        <v>190</v>
      </c>
      <c r="B127" s="195"/>
      <c r="C127" s="253">
        <f t="shared" ref="C127:I127" si="48">(SUM(C84:C85))/SUM(C100:C106)</f>
        <v>0.94574949740678793</v>
      </c>
      <c r="D127" s="253">
        <f t="shared" si="48"/>
        <v>2.5507731188194214</v>
      </c>
      <c r="E127" s="253">
        <f t="shared" si="48"/>
        <v>7.8058728043891856E-2</v>
      </c>
      <c r="F127" s="253">
        <f t="shared" si="48"/>
        <v>6.3746563375071359</v>
      </c>
      <c r="G127" s="253">
        <f t="shared" si="48"/>
        <v>1.7078636170606334</v>
      </c>
      <c r="H127" s="253">
        <f t="shared" si="48"/>
        <v>2.8071764849371874</v>
      </c>
      <c r="I127" s="253">
        <f t="shared" si="48"/>
        <v>1.2422263561707214</v>
      </c>
      <c r="J127" s="253">
        <f t="shared" ref="J127" si="49">(SUM(J84:J85))/SUM(J100:J106)</f>
        <v>72.930040511062643</v>
      </c>
    </row>
    <row r="128" spans="1:10" ht="24">
      <c r="A128" s="196"/>
      <c r="B128" s="197" t="s">
        <v>191</v>
      </c>
      <c r="C128" s="254"/>
      <c r="D128" s="254"/>
      <c r="E128" s="254"/>
      <c r="F128" s="254"/>
      <c r="G128" s="254"/>
      <c r="H128" s="254"/>
      <c r="I128" s="254"/>
      <c r="J128" s="254"/>
    </row>
    <row r="129" spans="1:10" s="115" customFormat="1" ht="8.1" customHeight="1">
      <c r="A129" s="116"/>
      <c r="B129" s="117"/>
      <c r="C129" s="118"/>
      <c r="D129" s="118"/>
      <c r="E129" s="118"/>
      <c r="F129" s="118"/>
      <c r="G129" s="118"/>
      <c r="H129" s="118"/>
      <c r="I129" s="118"/>
      <c r="J129" s="119"/>
    </row>
    <row r="130" spans="1:10">
      <c r="A130" s="199" t="s">
        <v>116</v>
      </c>
      <c r="B130" s="58"/>
      <c r="C130" s="255">
        <f t="shared" ref="C130:I130" si="50">C111/C98</f>
        <v>0.44949982241291375</v>
      </c>
      <c r="D130" s="255">
        <f t="shared" si="50"/>
        <v>0.41465531037529763</v>
      </c>
      <c r="E130" s="255">
        <f t="shared" si="50"/>
        <v>0.74593956773213266</v>
      </c>
      <c r="F130" s="255">
        <f t="shared" si="50"/>
        <v>0.18623278363019638</v>
      </c>
      <c r="G130" s="255">
        <f t="shared" si="50"/>
        <v>0.51496510499977743</v>
      </c>
      <c r="H130" s="255">
        <f t="shared" si="50"/>
        <v>0.31059055112469897</v>
      </c>
      <c r="I130" s="255">
        <f t="shared" si="50"/>
        <v>0.32461479899270151</v>
      </c>
      <c r="J130" s="255">
        <f t="shared" ref="J130" si="51">J111/J98</f>
        <v>2.2751305683182572E-3</v>
      </c>
    </row>
    <row r="131" spans="1:10" ht="25.5">
      <c r="A131" s="192"/>
      <c r="B131" s="198" t="s">
        <v>117</v>
      </c>
      <c r="C131" s="255"/>
      <c r="D131" s="255"/>
      <c r="E131" s="255"/>
      <c r="F131" s="255"/>
      <c r="G131" s="255"/>
      <c r="H131" s="255"/>
      <c r="I131" s="255"/>
      <c r="J131" s="255"/>
    </row>
    <row r="132" spans="1:10">
      <c r="A132" s="199" t="s">
        <v>118</v>
      </c>
      <c r="B132" s="200"/>
      <c r="C132" s="255">
        <f t="shared" ref="C132:I132" si="52">C119/C98</f>
        <v>0.55050017758708625</v>
      </c>
      <c r="D132" s="255">
        <f t="shared" si="52"/>
        <v>0.58534468962470243</v>
      </c>
      <c r="E132" s="255">
        <f t="shared" si="52"/>
        <v>0.25406043226786734</v>
      </c>
      <c r="F132" s="255">
        <f t="shared" si="52"/>
        <v>0.81376712222031755</v>
      </c>
      <c r="G132" s="255">
        <f t="shared" si="52"/>
        <v>0.48503489500022251</v>
      </c>
      <c r="H132" s="255">
        <f t="shared" si="52"/>
        <v>0.68940944887530109</v>
      </c>
      <c r="I132" s="255">
        <f t="shared" si="52"/>
        <v>0.67538520100729849</v>
      </c>
      <c r="J132" s="255">
        <f t="shared" ref="J132" si="53">J119/J98</f>
        <v>0.9977248694316817</v>
      </c>
    </row>
    <row r="133" spans="1:10" ht="24">
      <c r="A133" s="192"/>
      <c r="B133" s="193" t="s">
        <v>119</v>
      </c>
      <c r="C133" s="255"/>
      <c r="D133" s="255"/>
      <c r="E133" s="255"/>
      <c r="F133" s="255"/>
      <c r="G133" s="255"/>
      <c r="H133" s="255"/>
      <c r="I133" s="255"/>
      <c r="J133" s="255"/>
    </row>
    <row r="134" spans="1:10">
      <c r="A134" s="264" t="s">
        <v>120</v>
      </c>
      <c r="B134" s="265"/>
      <c r="C134" s="255">
        <f t="shared" ref="C134:I134" si="54">C111/C119</f>
        <v>0.81652984088602809</v>
      </c>
      <c r="D134" s="255">
        <f t="shared" si="54"/>
        <v>0.70839510074167855</v>
      </c>
      <c r="E134" s="255">
        <f t="shared" si="54"/>
        <v>2.9360713947997024</v>
      </c>
      <c r="F134" s="255">
        <f t="shared" si="54"/>
        <v>0.22885267608510745</v>
      </c>
      <c r="G134" s="255">
        <f t="shared" si="54"/>
        <v>1.0617073334477125</v>
      </c>
      <c r="H134" s="255">
        <f t="shared" si="54"/>
        <v>0.45051681788144154</v>
      </c>
      <c r="I134" s="255">
        <f t="shared" si="54"/>
        <v>0.48063652935918211</v>
      </c>
      <c r="J134" s="255">
        <f t="shared" ref="J134" si="55">J111/J119</f>
        <v>2.2803185908498043E-3</v>
      </c>
    </row>
    <row r="135" spans="1:10">
      <c r="A135" s="192"/>
      <c r="B135" s="193" t="s">
        <v>121</v>
      </c>
      <c r="C135" s="255"/>
      <c r="D135" s="255"/>
      <c r="E135" s="255"/>
      <c r="F135" s="255"/>
      <c r="G135" s="255"/>
      <c r="H135" s="255"/>
      <c r="I135" s="255"/>
      <c r="J135" s="255"/>
    </row>
    <row r="136" spans="1:10" s="115" customFormat="1" ht="8.1" customHeight="1">
      <c r="A136" s="120"/>
      <c r="B136" s="121"/>
      <c r="C136" s="121"/>
      <c r="D136" s="121"/>
      <c r="E136" s="121"/>
      <c r="F136" s="121"/>
      <c r="G136" s="121"/>
      <c r="H136" s="121"/>
      <c r="I136" s="121"/>
      <c r="J136" s="131"/>
    </row>
    <row r="137" spans="1:10">
      <c r="A137" s="201" t="s">
        <v>122</v>
      </c>
      <c r="B137" s="21"/>
      <c r="C137" s="50">
        <v>5</v>
      </c>
      <c r="D137" s="50">
        <v>9</v>
      </c>
      <c r="E137" s="51">
        <v>8</v>
      </c>
      <c r="F137" s="51">
        <v>1</v>
      </c>
      <c r="G137" s="50">
        <v>5</v>
      </c>
      <c r="H137" s="50">
        <v>5</v>
      </c>
      <c r="I137" s="51">
        <v>7</v>
      </c>
      <c r="J137" s="63">
        <v>15</v>
      </c>
    </row>
    <row r="138" spans="1:10" s="115" customFormat="1" ht="8.1" customHeight="1">
      <c r="A138" s="126"/>
      <c r="B138" s="121"/>
      <c r="C138" s="121"/>
      <c r="D138" s="121"/>
      <c r="E138" s="121"/>
      <c r="F138" s="121"/>
      <c r="G138" s="121"/>
      <c r="H138" s="121"/>
      <c r="I138" s="121"/>
      <c r="J138" s="131"/>
    </row>
    <row r="139" spans="1:10">
      <c r="A139" s="203" t="s">
        <v>123</v>
      </c>
      <c r="B139" s="203"/>
      <c r="C139" s="133">
        <v>23605</v>
      </c>
      <c r="D139" s="133">
        <v>60823</v>
      </c>
      <c r="E139" s="128">
        <v>22571</v>
      </c>
      <c r="F139" s="63">
        <v>58009</v>
      </c>
      <c r="G139" s="133">
        <v>58465</v>
      </c>
      <c r="H139" s="133">
        <v>45965</v>
      </c>
      <c r="I139" s="128">
        <v>58716</v>
      </c>
      <c r="J139" s="128">
        <v>94266</v>
      </c>
    </row>
    <row r="140" spans="1:10">
      <c r="A140" s="202" t="s">
        <v>124</v>
      </c>
      <c r="B140" s="202"/>
      <c r="C140" s="133">
        <v>14595</v>
      </c>
      <c r="D140" s="133">
        <v>17922</v>
      </c>
      <c r="E140" s="51">
        <v>350</v>
      </c>
      <c r="F140" s="63">
        <v>49580</v>
      </c>
      <c r="G140" s="133">
        <v>10783</v>
      </c>
      <c r="H140" s="133">
        <v>27173</v>
      </c>
      <c r="I140" s="128">
        <v>51794</v>
      </c>
      <c r="J140" s="128">
        <v>21875</v>
      </c>
    </row>
    <row r="141" spans="1:10">
      <c r="A141" s="202" t="s">
        <v>125</v>
      </c>
      <c r="B141" s="202"/>
      <c r="C141" s="133">
        <v>38200</v>
      </c>
      <c r="D141" s="133">
        <v>78745</v>
      </c>
      <c r="E141" s="128">
        <v>22921</v>
      </c>
      <c r="F141" s="63">
        <v>107589</v>
      </c>
      <c r="G141" s="133">
        <v>69248</v>
      </c>
      <c r="H141" s="133">
        <v>73138</v>
      </c>
      <c r="I141" s="128">
        <v>110510</v>
      </c>
      <c r="J141" s="128">
        <v>116141</v>
      </c>
    </row>
    <row r="144" spans="1:10">
      <c r="A144" s="152"/>
      <c r="B144" s="48"/>
    </row>
    <row r="145" spans="1:2">
      <c r="A145" s="152"/>
      <c r="B145" s="48"/>
    </row>
  </sheetData>
  <mergeCells count="60">
    <mergeCell ref="A134:B134"/>
    <mergeCell ref="A1:B3"/>
    <mergeCell ref="C2:C3"/>
    <mergeCell ref="D2:D3"/>
    <mergeCell ref="E2:E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5:D126"/>
    <mergeCell ref="H2:H3"/>
    <mergeCell ref="I2:I3"/>
    <mergeCell ref="J2:J3"/>
    <mergeCell ref="F2:F3"/>
    <mergeCell ref="G2:G3"/>
    <mergeCell ref="F123:F124"/>
    <mergeCell ref="G123:G124"/>
    <mergeCell ref="H123:H124"/>
    <mergeCell ref="I123:I124"/>
    <mergeCell ref="J123:J124"/>
    <mergeCell ref="J125:J126"/>
    <mergeCell ref="D127:D128"/>
    <mergeCell ref="E127:E128"/>
    <mergeCell ref="F127:F128"/>
    <mergeCell ref="G127:G128"/>
    <mergeCell ref="H127:H128"/>
    <mergeCell ref="I127:I128"/>
    <mergeCell ref="J127:J128"/>
    <mergeCell ref="E125:E126"/>
    <mergeCell ref="F125:F126"/>
    <mergeCell ref="G125:G126"/>
    <mergeCell ref="H125:H126"/>
    <mergeCell ref="I125:I126"/>
    <mergeCell ref="I130:I131"/>
    <mergeCell ref="J130:J131"/>
    <mergeCell ref="D132:D133"/>
    <mergeCell ref="E132:E133"/>
    <mergeCell ref="F132:F133"/>
    <mergeCell ref="G132:G133"/>
    <mergeCell ref="H132:H133"/>
    <mergeCell ref="I132:I133"/>
    <mergeCell ref="J132:J133"/>
    <mergeCell ref="D130:D131"/>
    <mergeCell ref="E130:E131"/>
    <mergeCell ref="F130:F131"/>
    <mergeCell ref="G130:G131"/>
    <mergeCell ref="H130:H131"/>
    <mergeCell ref="I134:I135"/>
    <mergeCell ref="J134:J135"/>
    <mergeCell ref="D134:D135"/>
    <mergeCell ref="E134:E135"/>
    <mergeCell ref="F134:F135"/>
    <mergeCell ref="G134:G135"/>
    <mergeCell ref="H134:H135"/>
  </mergeCells>
  <conditionalFormatting sqref="C123:I124">
    <cfRule type="cellIs" dxfId="25" priority="8" operator="lessThan">
      <formula>0</formula>
    </cfRule>
  </conditionalFormatting>
  <conditionalFormatting sqref="C66:I66">
    <cfRule type="cellIs" dxfId="24" priority="7" operator="lessThan">
      <formula>0</formula>
    </cfRule>
  </conditionalFormatting>
  <conditionalFormatting sqref="J123:J124">
    <cfRule type="cellIs" dxfId="23" priority="2" operator="lessThan">
      <formula>0</formula>
    </cfRule>
  </conditionalFormatting>
  <conditionalFormatting sqref="J66">
    <cfRule type="cellIs" dxfId="22" priority="1" operator="lessThan">
      <formula>0</formula>
    </cfRule>
  </conditionalFormatting>
  <printOptions horizontalCentered="1"/>
  <pageMargins left="0.5" right="0.5" top="0.75" bottom="0.35" header="0.5" footer="0.15"/>
  <pageSetup scale="64" fitToWidth="2" fitToHeight="2" orientation="portrait" r:id="rId1"/>
  <headerFooter alignWithMargins="0">
    <oddHeader>&amp;C&amp;"Arial,Bold"&amp;12CLASS IV FAIRS</oddHeader>
    <oddFooter>&amp;CFairs and Expositions</oddFooter>
  </headerFooter>
  <rowBreaks count="1" manualBreakCount="1">
    <brk id="77" max="9" man="1"/>
  </rowBreaks>
  <colBreaks count="1" manualBreakCount="1">
    <brk id="8" max="143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5" width="12.7109375" style="10" customWidth="1"/>
    <col min="6" max="8" width="12.7109375" style="44" customWidth="1"/>
    <col min="9" max="16384" width="9.140625" style="10"/>
  </cols>
  <sheetData>
    <row r="1" spans="1:8" ht="12" customHeight="1">
      <c r="A1" s="266"/>
      <c r="B1" s="267"/>
      <c r="C1" s="211"/>
      <c r="D1" s="211"/>
      <c r="E1" s="211"/>
      <c r="F1" s="211"/>
      <c r="G1" s="211"/>
      <c r="H1" s="211"/>
    </row>
    <row r="2" spans="1:8" ht="12" customHeight="1">
      <c r="A2" s="268"/>
      <c r="B2" s="269"/>
      <c r="C2" s="272" t="s">
        <v>167</v>
      </c>
      <c r="D2" s="272" t="s">
        <v>168</v>
      </c>
      <c r="E2" s="272" t="s">
        <v>169</v>
      </c>
      <c r="F2" s="272" t="s">
        <v>224</v>
      </c>
      <c r="G2" s="272" t="s">
        <v>170</v>
      </c>
      <c r="H2" s="272" t="s">
        <v>171</v>
      </c>
    </row>
    <row r="3" spans="1:8" ht="69" customHeight="1">
      <c r="A3" s="270"/>
      <c r="B3" s="271"/>
      <c r="C3" s="273"/>
      <c r="D3" s="273"/>
      <c r="E3" s="273"/>
      <c r="F3" s="273"/>
      <c r="G3" s="273"/>
      <c r="H3" s="273"/>
    </row>
    <row r="4" spans="1:8" ht="13.5" customHeight="1">
      <c r="A4" s="213" t="s">
        <v>218</v>
      </c>
      <c r="B4" s="11"/>
      <c r="C4" s="35"/>
      <c r="D4" s="35"/>
      <c r="E4" s="35"/>
      <c r="F4" s="34"/>
      <c r="G4" s="34"/>
      <c r="H4" s="36"/>
    </row>
    <row r="5" spans="1:8" ht="13.5" customHeight="1">
      <c r="A5" s="213"/>
      <c r="B5" s="11" t="s">
        <v>39</v>
      </c>
      <c r="C5" s="13">
        <v>-563274</v>
      </c>
      <c r="D5" s="13">
        <v>-403384.25</v>
      </c>
      <c r="E5" s="13">
        <v>370487</v>
      </c>
      <c r="F5" s="13">
        <v>87908</v>
      </c>
      <c r="G5" s="13">
        <v>182876</v>
      </c>
      <c r="H5" s="239">
        <v>168274</v>
      </c>
    </row>
    <row r="6" spans="1:8" ht="13.5" customHeight="1">
      <c r="A6" s="213"/>
      <c r="B6" s="11" t="s">
        <v>217</v>
      </c>
      <c r="C6" s="28">
        <v>-990036</v>
      </c>
      <c r="D6" s="28">
        <v>-981250.66</v>
      </c>
      <c r="E6" s="28">
        <v>-1212566</v>
      </c>
      <c r="F6" s="28">
        <v>0</v>
      </c>
      <c r="G6" s="28">
        <v>0</v>
      </c>
      <c r="H6" s="16">
        <v>-2041365</v>
      </c>
    </row>
    <row r="7" spans="1:8" ht="13.5" customHeight="1">
      <c r="A7" s="213"/>
      <c r="B7" s="11" t="s">
        <v>40</v>
      </c>
      <c r="C7" s="28">
        <v>0</v>
      </c>
      <c r="D7" s="28">
        <v>0</v>
      </c>
      <c r="E7" s="28">
        <v>0</v>
      </c>
      <c r="F7" s="28">
        <v>11500</v>
      </c>
      <c r="G7" s="28">
        <v>0</v>
      </c>
      <c r="H7" s="16">
        <v>83690</v>
      </c>
    </row>
    <row r="8" spans="1:8" ht="13.5" customHeight="1">
      <c r="A8" s="213"/>
      <c r="B8" s="11" t="s">
        <v>41</v>
      </c>
      <c r="C8" s="29">
        <v>2605682</v>
      </c>
      <c r="D8" s="29">
        <v>1302440.4799999995</v>
      </c>
      <c r="E8" s="16">
        <v>3256734</v>
      </c>
      <c r="F8" s="15">
        <v>0</v>
      </c>
      <c r="G8" s="15">
        <v>1151545</v>
      </c>
      <c r="H8" s="16">
        <v>576727</v>
      </c>
    </row>
    <row r="9" spans="1:8" ht="13.5" customHeight="1">
      <c r="A9" s="213"/>
      <c r="B9" s="11" t="s">
        <v>42</v>
      </c>
      <c r="C9" s="83">
        <v>-11179</v>
      </c>
      <c r="D9" s="83">
        <v>-11124</v>
      </c>
      <c r="E9" s="66">
        <v>0</v>
      </c>
      <c r="F9" s="67">
        <v>0</v>
      </c>
      <c r="G9" s="17">
        <v>12609</v>
      </c>
      <c r="H9" s="18">
        <v>3575</v>
      </c>
    </row>
    <row r="10" spans="1:8" s="20" customFormat="1" ht="13.5" customHeight="1" thickBot="1">
      <c r="A10" s="214"/>
      <c r="B10" s="84" t="s">
        <v>43</v>
      </c>
      <c r="C10" s="60">
        <f t="shared" ref="C10:H10" si="0">SUM(C5:C9)</f>
        <v>1041193</v>
      </c>
      <c r="D10" s="60">
        <f t="shared" si="0"/>
        <v>-93318.430000000633</v>
      </c>
      <c r="E10" s="60">
        <f t="shared" si="0"/>
        <v>2414655</v>
      </c>
      <c r="F10" s="60">
        <f t="shared" si="0"/>
        <v>99408</v>
      </c>
      <c r="G10" s="60">
        <f t="shared" si="0"/>
        <v>1347030</v>
      </c>
      <c r="H10" s="60">
        <f t="shared" si="0"/>
        <v>-1209099</v>
      </c>
    </row>
    <row r="11" spans="1:8" s="20" customFormat="1" ht="13.5" customHeight="1">
      <c r="A11" s="192" t="s">
        <v>44</v>
      </c>
      <c r="B11" s="33"/>
      <c r="C11" s="39"/>
      <c r="D11" s="39"/>
      <c r="E11" s="39"/>
      <c r="F11" s="39"/>
      <c r="G11" s="39"/>
      <c r="H11" s="39"/>
    </row>
    <row r="12" spans="1:8" s="20" customFormat="1" ht="13.5" customHeight="1">
      <c r="A12" s="215"/>
      <c r="B12" s="21" t="s">
        <v>45</v>
      </c>
      <c r="C12" s="22">
        <v>32487</v>
      </c>
      <c r="D12" s="22">
        <v>30552</v>
      </c>
      <c r="E12" s="22">
        <v>30552</v>
      </c>
      <c r="F12" s="22">
        <v>30552</v>
      </c>
      <c r="G12" s="22">
        <v>30552</v>
      </c>
      <c r="H12" s="22">
        <v>30552</v>
      </c>
    </row>
    <row r="13" spans="1:8" s="20" customFormat="1" ht="13.5" customHeight="1">
      <c r="A13" s="215"/>
      <c r="B13" s="21" t="s">
        <v>46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27794</v>
      </c>
    </row>
    <row r="14" spans="1:8" s="20" customFormat="1" ht="13.5" customHeight="1" thickBot="1">
      <c r="A14" s="216"/>
      <c r="B14" s="30" t="s">
        <v>47</v>
      </c>
      <c r="C14" s="31">
        <v>0</v>
      </c>
      <c r="D14" s="31">
        <v>1935</v>
      </c>
      <c r="E14" s="31">
        <v>5000</v>
      </c>
      <c r="F14" s="31">
        <v>836011</v>
      </c>
      <c r="G14" s="31">
        <v>1935</v>
      </c>
      <c r="H14" s="31">
        <f>1000+39932</f>
        <v>40932</v>
      </c>
    </row>
    <row r="15" spans="1:8" ht="13.5" customHeight="1">
      <c r="A15" s="217" t="s">
        <v>48</v>
      </c>
      <c r="B15" s="23"/>
      <c r="C15" s="25"/>
      <c r="D15" s="25"/>
      <c r="E15" s="25"/>
      <c r="F15" s="24"/>
      <c r="G15" s="24"/>
      <c r="H15" s="26"/>
    </row>
    <row r="16" spans="1:8" ht="13.5" customHeight="1">
      <c r="A16" s="218"/>
      <c r="B16" s="27" t="s">
        <v>49</v>
      </c>
      <c r="C16" s="28">
        <v>116654.13</v>
      </c>
      <c r="D16" s="28">
        <v>1054750</v>
      </c>
      <c r="E16" s="28">
        <v>430122.6</v>
      </c>
      <c r="F16" s="17">
        <v>1052837</v>
      </c>
      <c r="G16" s="17">
        <v>175983</v>
      </c>
      <c r="H16" s="18">
        <v>153392</v>
      </c>
    </row>
    <row r="17" spans="1:8" ht="13.5" customHeight="1">
      <c r="A17" s="218"/>
      <c r="B17" s="27" t="s">
        <v>50</v>
      </c>
      <c r="C17" s="28">
        <v>23015</v>
      </c>
      <c r="D17" s="28">
        <v>82441</v>
      </c>
      <c r="E17" s="28">
        <v>51823.6</v>
      </c>
      <c r="F17" s="17">
        <v>264355</v>
      </c>
      <c r="G17" s="17">
        <v>54027</v>
      </c>
      <c r="H17" s="18">
        <v>39550</v>
      </c>
    </row>
    <row r="18" spans="1:8" ht="13.5" customHeight="1">
      <c r="A18" s="218"/>
      <c r="B18" s="27" t="s">
        <v>51</v>
      </c>
      <c r="C18" s="28">
        <v>55472</v>
      </c>
      <c r="D18" s="28">
        <v>387110</v>
      </c>
      <c r="E18" s="28">
        <v>173348</v>
      </c>
      <c r="F18" s="17">
        <v>806143</v>
      </c>
      <c r="G18" s="17">
        <v>25666</v>
      </c>
      <c r="H18" s="18">
        <v>77831</v>
      </c>
    </row>
    <row r="19" spans="1:8" ht="13.5" customHeight="1">
      <c r="A19" s="218"/>
      <c r="B19" s="27" t="s">
        <v>52</v>
      </c>
      <c r="C19" s="28">
        <v>62849.75</v>
      </c>
      <c r="D19" s="28">
        <v>500401</v>
      </c>
      <c r="E19" s="28">
        <v>146288</v>
      </c>
      <c r="F19" s="17">
        <v>498598</v>
      </c>
      <c r="G19" s="17">
        <v>74250</v>
      </c>
      <c r="H19" s="18">
        <v>66879</v>
      </c>
    </row>
    <row r="20" spans="1:8" ht="13.5" customHeight="1">
      <c r="A20" s="218"/>
      <c r="B20" s="27" t="s">
        <v>53</v>
      </c>
      <c r="C20" s="28">
        <v>0</v>
      </c>
      <c r="D20" s="28">
        <v>87442</v>
      </c>
      <c r="E20" s="28">
        <v>46897</v>
      </c>
      <c r="F20" s="17">
        <v>16010</v>
      </c>
      <c r="G20" s="17">
        <v>11631</v>
      </c>
      <c r="H20" s="18">
        <v>8841</v>
      </c>
    </row>
    <row r="21" spans="1:8" ht="13.5" customHeight="1">
      <c r="A21" s="218"/>
      <c r="B21" s="27" t="s">
        <v>54</v>
      </c>
      <c r="C21" s="28">
        <v>0</v>
      </c>
      <c r="D21" s="28">
        <v>7897</v>
      </c>
      <c r="E21" s="28">
        <v>0</v>
      </c>
      <c r="F21" s="17">
        <v>0</v>
      </c>
      <c r="G21" s="17">
        <v>0</v>
      </c>
      <c r="H21" s="18">
        <v>392</v>
      </c>
    </row>
    <row r="22" spans="1:8" ht="13.5" customHeight="1">
      <c r="A22" s="218"/>
      <c r="B22" s="27" t="s">
        <v>55</v>
      </c>
      <c r="C22" s="29">
        <v>0</v>
      </c>
      <c r="D22" s="29">
        <v>0</v>
      </c>
      <c r="E22" s="29">
        <v>0</v>
      </c>
      <c r="F22" s="15">
        <v>0</v>
      </c>
      <c r="G22" s="15">
        <v>0</v>
      </c>
      <c r="H22" s="16">
        <v>0</v>
      </c>
    </row>
    <row r="23" spans="1:8" ht="13.5" customHeight="1">
      <c r="A23" s="218"/>
      <c r="B23" s="27" t="s">
        <v>56</v>
      </c>
      <c r="C23" s="28">
        <v>880946.88</v>
      </c>
      <c r="D23" s="28">
        <v>3013</v>
      </c>
      <c r="E23" s="28">
        <v>525521</v>
      </c>
      <c r="F23" s="17">
        <v>0</v>
      </c>
      <c r="G23" s="17">
        <v>1315392</v>
      </c>
      <c r="H23" s="18">
        <v>411514</v>
      </c>
    </row>
    <row r="24" spans="1:8" ht="13.5" customHeight="1">
      <c r="A24" s="218"/>
      <c r="B24" s="27" t="s">
        <v>57</v>
      </c>
      <c r="C24" s="28">
        <v>0</v>
      </c>
      <c r="D24" s="28">
        <v>194902</v>
      </c>
      <c r="E24" s="28">
        <v>26920</v>
      </c>
      <c r="F24" s="17">
        <v>0</v>
      </c>
      <c r="G24" s="17">
        <v>0</v>
      </c>
      <c r="H24" s="18">
        <v>0</v>
      </c>
    </row>
    <row r="25" spans="1:8" ht="13.5" customHeight="1">
      <c r="A25" s="218"/>
      <c r="B25" s="27" t="s">
        <v>58</v>
      </c>
      <c r="C25" s="28">
        <v>0</v>
      </c>
      <c r="D25" s="28">
        <v>0</v>
      </c>
      <c r="E25" s="28">
        <v>0</v>
      </c>
      <c r="F25" s="17">
        <v>0</v>
      </c>
      <c r="G25" s="17">
        <v>0</v>
      </c>
      <c r="H25" s="18">
        <v>0</v>
      </c>
    </row>
    <row r="26" spans="1:8" ht="13.5" customHeight="1">
      <c r="A26" s="218"/>
      <c r="B26" s="27" t="s">
        <v>59</v>
      </c>
      <c r="C26" s="28">
        <v>0</v>
      </c>
      <c r="D26" s="28">
        <v>0</v>
      </c>
      <c r="E26" s="28">
        <v>0</v>
      </c>
      <c r="F26" s="17">
        <v>0</v>
      </c>
      <c r="G26" s="17">
        <v>0</v>
      </c>
      <c r="H26" s="18">
        <v>0</v>
      </c>
    </row>
    <row r="27" spans="1:8" ht="13.5" customHeight="1">
      <c r="A27" s="218"/>
      <c r="B27" s="27" t="s">
        <v>60</v>
      </c>
      <c r="C27" s="28">
        <v>102745.2</v>
      </c>
      <c r="D27" s="28">
        <v>550956.76</v>
      </c>
      <c r="E27" s="28">
        <v>180211</v>
      </c>
      <c r="F27" s="17">
        <v>605264</v>
      </c>
      <c r="G27" s="17">
        <v>248648</v>
      </c>
      <c r="H27" s="18">
        <v>144762</v>
      </c>
    </row>
    <row r="28" spans="1:8" ht="13.5" customHeight="1">
      <c r="A28" s="218"/>
      <c r="B28" s="27" t="s">
        <v>145</v>
      </c>
      <c r="C28" s="28">
        <v>0</v>
      </c>
      <c r="D28" s="28">
        <v>0</v>
      </c>
      <c r="E28" s="28">
        <v>0</v>
      </c>
      <c r="F28" s="17">
        <v>0</v>
      </c>
      <c r="G28" s="17">
        <v>0</v>
      </c>
      <c r="H28" s="18">
        <v>0</v>
      </c>
    </row>
    <row r="29" spans="1:8" ht="13.5" customHeight="1">
      <c r="A29" s="218"/>
      <c r="B29" s="27" t="s">
        <v>62</v>
      </c>
      <c r="C29" s="28">
        <v>1104083.93</v>
      </c>
      <c r="D29" s="28">
        <v>524703.25</v>
      </c>
      <c r="E29" s="28">
        <v>743831.6</v>
      </c>
      <c r="F29" s="17">
        <v>347063</v>
      </c>
      <c r="G29" s="17">
        <v>3319663</v>
      </c>
      <c r="H29" s="18">
        <v>927802</v>
      </c>
    </row>
    <row r="30" spans="1:8" ht="13.5" customHeight="1">
      <c r="A30" s="218"/>
      <c r="B30" s="27" t="s">
        <v>63</v>
      </c>
      <c r="C30" s="28">
        <v>1108.53</v>
      </c>
      <c r="D30" s="28">
        <v>59878.44</v>
      </c>
      <c r="E30" s="28">
        <v>5032.6000000000004</v>
      </c>
      <c r="F30" s="17">
        <v>0</v>
      </c>
      <c r="G30" s="17">
        <v>0</v>
      </c>
      <c r="H30" s="18">
        <v>0</v>
      </c>
    </row>
    <row r="31" spans="1:8" ht="13.5" customHeight="1">
      <c r="A31" s="218"/>
      <c r="B31" s="27" t="s">
        <v>64</v>
      </c>
      <c r="C31" s="29">
        <v>0</v>
      </c>
      <c r="D31" s="29">
        <v>55160.39</v>
      </c>
      <c r="E31" s="29">
        <v>24694.6</v>
      </c>
      <c r="F31" s="15">
        <v>14021</v>
      </c>
      <c r="G31" s="15">
        <v>2683801</v>
      </c>
      <c r="H31" s="16">
        <v>1196933</v>
      </c>
    </row>
    <row r="32" spans="1:8" s="20" customFormat="1" ht="13.5" customHeight="1" thickBot="1">
      <c r="A32" s="214" t="s">
        <v>65</v>
      </c>
      <c r="B32" s="30"/>
      <c r="C32" s="31">
        <f t="shared" ref="C32:H32" si="1">SUM(C16:C31)</f>
        <v>2346875.4199999995</v>
      </c>
      <c r="D32" s="31">
        <f t="shared" si="1"/>
        <v>3508654.84</v>
      </c>
      <c r="E32" s="31">
        <f t="shared" si="1"/>
        <v>2354690</v>
      </c>
      <c r="F32" s="31">
        <f t="shared" si="1"/>
        <v>3604291</v>
      </c>
      <c r="G32" s="31">
        <f t="shared" si="1"/>
        <v>7909061</v>
      </c>
      <c r="H32" s="31">
        <f t="shared" si="1"/>
        <v>3027896</v>
      </c>
    </row>
    <row r="33" spans="1:8" ht="13.5" customHeight="1">
      <c r="A33" s="217" t="s">
        <v>66</v>
      </c>
      <c r="B33" s="23"/>
      <c r="C33" s="25"/>
      <c r="D33" s="25"/>
      <c r="E33" s="25"/>
      <c r="F33" s="24"/>
      <c r="G33" s="24"/>
      <c r="H33" s="26"/>
    </row>
    <row r="34" spans="1:8" ht="13.5" customHeight="1">
      <c r="A34" s="218"/>
      <c r="B34" s="27" t="s">
        <v>67</v>
      </c>
      <c r="C34" s="18">
        <v>483710.34</v>
      </c>
      <c r="D34" s="18">
        <v>609876.94999999984</v>
      </c>
      <c r="E34" s="28">
        <v>531736</v>
      </c>
      <c r="F34" s="17">
        <v>1725228</v>
      </c>
      <c r="G34" s="17">
        <v>1992384</v>
      </c>
      <c r="H34" s="18">
        <v>572815</v>
      </c>
    </row>
    <row r="35" spans="1:8" ht="13.5" customHeight="1">
      <c r="A35" s="218"/>
      <c r="B35" s="27" t="s">
        <v>68</v>
      </c>
      <c r="C35" s="18">
        <v>1172947.3400000001</v>
      </c>
      <c r="D35" s="18">
        <v>532565.13</v>
      </c>
      <c r="E35" s="28">
        <v>576156</v>
      </c>
      <c r="F35" s="17">
        <v>869627</v>
      </c>
      <c r="G35" s="17">
        <v>4113179</v>
      </c>
      <c r="H35" s="18">
        <v>451531</v>
      </c>
    </row>
    <row r="36" spans="1:8" ht="13.5" customHeight="1">
      <c r="A36" s="218"/>
      <c r="B36" s="27" t="s">
        <v>69</v>
      </c>
      <c r="C36" s="28">
        <v>80663.19</v>
      </c>
      <c r="D36" s="28">
        <v>292183.44000000006</v>
      </c>
      <c r="E36" s="28">
        <v>92835</v>
      </c>
      <c r="F36" s="17">
        <v>160279</v>
      </c>
      <c r="G36" s="17">
        <v>191536</v>
      </c>
      <c r="H36" s="18">
        <v>98115</v>
      </c>
    </row>
    <row r="37" spans="1:8" ht="13.5" customHeight="1">
      <c r="A37" s="218"/>
      <c r="B37" s="27" t="s">
        <v>70</v>
      </c>
      <c r="C37" s="28">
        <v>12893.04</v>
      </c>
      <c r="D37" s="28">
        <v>411015.20999999996</v>
      </c>
      <c r="E37" s="28">
        <v>131837</v>
      </c>
      <c r="F37" s="17">
        <v>419430</v>
      </c>
      <c r="G37" s="17">
        <v>91385</v>
      </c>
      <c r="H37" s="18">
        <v>46579</v>
      </c>
    </row>
    <row r="38" spans="1:8" ht="13.5" customHeight="1">
      <c r="A38" s="218"/>
      <c r="B38" s="27" t="s">
        <v>60</v>
      </c>
      <c r="C38" s="28">
        <v>57761.31</v>
      </c>
      <c r="D38" s="28">
        <v>134586.88</v>
      </c>
      <c r="E38" s="28">
        <v>49509</v>
      </c>
      <c r="F38" s="17">
        <v>292551</v>
      </c>
      <c r="G38" s="17">
        <v>43818</v>
      </c>
      <c r="H38" s="18">
        <v>334636</v>
      </c>
    </row>
    <row r="39" spans="1:8" ht="13.5" customHeight="1">
      <c r="A39" s="218"/>
      <c r="B39" s="27" t="s">
        <v>71</v>
      </c>
      <c r="C39" s="28">
        <v>0</v>
      </c>
      <c r="D39" s="28"/>
      <c r="E39" s="28">
        <v>8599</v>
      </c>
      <c r="F39" s="17">
        <v>9491</v>
      </c>
      <c r="G39" s="17">
        <v>0</v>
      </c>
      <c r="H39" s="18">
        <v>31507</v>
      </c>
    </row>
    <row r="40" spans="1:8" ht="13.5" customHeight="1">
      <c r="A40" s="218"/>
      <c r="B40" s="27" t="s">
        <v>72</v>
      </c>
      <c r="C40" s="28">
        <v>0</v>
      </c>
      <c r="D40" s="28">
        <v>118107.73</v>
      </c>
      <c r="E40" s="28">
        <v>16996</v>
      </c>
      <c r="F40" s="17">
        <v>33211</v>
      </c>
      <c r="G40" s="17">
        <v>13992</v>
      </c>
      <c r="H40" s="18">
        <v>30240</v>
      </c>
    </row>
    <row r="41" spans="1:8" ht="13.5" customHeight="1">
      <c r="A41" s="218"/>
      <c r="B41" s="27" t="s">
        <v>53</v>
      </c>
      <c r="C41" s="28">
        <v>13424.86</v>
      </c>
      <c r="D41" s="28">
        <v>308931.76</v>
      </c>
      <c r="E41" s="28">
        <v>141654</v>
      </c>
      <c r="F41" s="17">
        <v>75182</v>
      </c>
      <c r="G41" s="17">
        <v>53646</v>
      </c>
      <c r="H41" s="18">
        <v>85092</v>
      </c>
    </row>
    <row r="42" spans="1:8" ht="13.5" customHeight="1">
      <c r="A42" s="218"/>
      <c r="B42" s="27" t="s">
        <v>54</v>
      </c>
      <c r="C42" s="28">
        <v>0</v>
      </c>
      <c r="D42" s="28">
        <v>21507.64</v>
      </c>
      <c r="E42" s="28">
        <v>0</v>
      </c>
      <c r="F42" s="17">
        <v>0</v>
      </c>
      <c r="G42" s="17">
        <v>0</v>
      </c>
      <c r="H42" s="18">
        <v>1760</v>
      </c>
    </row>
    <row r="43" spans="1:8" ht="13.5" customHeight="1">
      <c r="A43" s="218"/>
      <c r="B43" s="27" t="s">
        <v>55</v>
      </c>
      <c r="C43" s="28">
        <v>0</v>
      </c>
      <c r="D43" s="28"/>
      <c r="E43" s="28">
        <v>0</v>
      </c>
      <c r="F43" s="17">
        <v>0</v>
      </c>
      <c r="G43" s="17">
        <v>0</v>
      </c>
      <c r="H43" s="18">
        <v>0</v>
      </c>
    </row>
    <row r="44" spans="1:8" ht="13.5" customHeight="1">
      <c r="A44" s="218"/>
      <c r="B44" s="27" t="s">
        <v>56</v>
      </c>
      <c r="C44" s="28">
        <v>467052.68000000005</v>
      </c>
      <c r="D44" s="28">
        <v>14029.07</v>
      </c>
      <c r="E44" s="28">
        <v>340776</v>
      </c>
      <c r="F44" s="17">
        <v>14629</v>
      </c>
      <c r="G44" s="17">
        <v>1031966</v>
      </c>
      <c r="H44" s="18">
        <v>352134</v>
      </c>
    </row>
    <row r="45" spans="1:8" ht="13.5" customHeight="1">
      <c r="A45" s="218"/>
      <c r="B45" s="27" t="s">
        <v>73</v>
      </c>
      <c r="C45" s="28">
        <v>155546.28999999998</v>
      </c>
      <c r="D45" s="28">
        <v>956268.4</v>
      </c>
      <c r="E45" s="28">
        <v>382848</v>
      </c>
      <c r="F45" s="17">
        <v>861923</v>
      </c>
      <c r="G45" s="17">
        <v>161300</v>
      </c>
      <c r="H45" s="18">
        <v>253767</v>
      </c>
    </row>
    <row r="46" spans="1:8" ht="13.5" customHeight="1">
      <c r="A46" s="218"/>
      <c r="B46" s="27" t="s">
        <v>58</v>
      </c>
      <c r="C46" s="28">
        <v>0</v>
      </c>
      <c r="D46" s="28"/>
      <c r="E46" s="28">
        <v>0</v>
      </c>
      <c r="F46" s="17">
        <v>0</v>
      </c>
      <c r="G46" s="17">
        <v>0</v>
      </c>
      <c r="H46" s="18">
        <v>0</v>
      </c>
    </row>
    <row r="47" spans="1:8" ht="13.5" customHeight="1">
      <c r="A47" s="218"/>
      <c r="B47" s="27" t="s">
        <v>74</v>
      </c>
      <c r="C47" s="28">
        <v>0</v>
      </c>
      <c r="D47" s="28">
        <v>111282.34</v>
      </c>
      <c r="E47" s="28">
        <v>0</v>
      </c>
      <c r="F47" s="17">
        <v>0</v>
      </c>
      <c r="G47" s="17">
        <v>0</v>
      </c>
      <c r="H47" s="18">
        <v>0</v>
      </c>
    </row>
    <row r="48" spans="1:8" ht="13.5" customHeight="1">
      <c r="A48" s="218"/>
      <c r="B48" s="27" t="s">
        <v>75</v>
      </c>
      <c r="C48" s="28">
        <v>4650</v>
      </c>
      <c r="D48" s="28">
        <v>9746.83</v>
      </c>
      <c r="E48" s="28">
        <v>0</v>
      </c>
      <c r="F48" s="17">
        <v>0</v>
      </c>
      <c r="G48" s="17">
        <v>0</v>
      </c>
      <c r="H48" s="18">
        <v>11020</v>
      </c>
    </row>
    <row r="49" spans="1:8" ht="13.5" customHeight="1">
      <c r="A49" s="218"/>
      <c r="B49" s="27" t="s">
        <v>76</v>
      </c>
      <c r="C49" s="28">
        <v>7314</v>
      </c>
      <c r="D49" s="28">
        <v>11470.74</v>
      </c>
      <c r="E49" s="28">
        <v>4727</v>
      </c>
      <c r="F49" s="17">
        <v>0</v>
      </c>
      <c r="G49" s="17">
        <v>0</v>
      </c>
      <c r="H49" s="18">
        <v>0</v>
      </c>
    </row>
    <row r="50" spans="1:8" ht="13.5" customHeight="1">
      <c r="A50" s="218"/>
      <c r="B50" s="27" t="s">
        <v>77</v>
      </c>
      <c r="C50" s="28">
        <v>-154</v>
      </c>
      <c r="D50" s="28">
        <v>987.69</v>
      </c>
      <c r="E50" s="28">
        <v>-158</v>
      </c>
      <c r="F50" s="17">
        <v>0</v>
      </c>
      <c r="G50" s="17">
        <v>0</v>
      </c>
      <c r="H50" s="18">
        <v>132</v>
      </c>
    </row>
    <row r="51" spans="1:8" ht="13.5" customHeight="1">
      <c r="A51" s="218"/>
      <c r="B51" s="27" t="s">
        <v>78</v>
      </c>
      <c r="C51" s="28">
        <v>0</v>
      </c>
      <c r="D51" s="28">
        <v>97215.200000000012</v>
      </c>
      <c r="E51" s="28">
        <v>0</v>
      </c>
      <c r="F51" s="17">
        <v>0</v>
      </c>
      <c r="G51" s="17">
        <v>0</v>
      </c>
      <c r="H51" s="18">
        <v>654702</v>
      </c>
    </row>
    <row r="52" spans="1:8" s="20" customFormat="1" ht="13.5" customHeight="1" thickBot="1">
      <c r="A52" s="214" t="s">
        <v>79</v>
      </c>
      <c r="B52" s="30"/>
      <c r="C52" s="31">
        <f t="shared" ref="C52:H52" si="2">SUM(C34:C51)</f>
        <v>2455809.0500000003</v>
      </c>
      <c r="D52" s="31">
        <f t="shared" si="2"/>
        <v>3629775.01</v>
      </c>
      <c r="E52" s="31">
        <f t="shared" si="2"/>
        <v>2277515</v>
      </c>
      <c r="F52" s="31">
        <f t="shared" si="2"/>
        <v>4461551</v>
      </c>
      <c r="G52" s="31">
        <f t="shared" si="2"/>
        <v>7693206</v>
      </c>
      <c r="H52" s="31">
        <f t="shared" si="2"/>
        <v>2924030</v>
      </c>
    </row>
    <row r="53" spans="1:8" ht="13.5" customHeight="1">
      <c r="A53" s="225" t="s">
        <v>80</v>
      </c>
      <c r="B53" s="68"/>
      <c r="C53" s="69"/>
      <c r="D53" s="69"/>
      <c r="E53" s="69"/>
      <c r="F53" s="70"/>
      <c r="G53" s="70"/>
      <c r="H53" s="71"/>
    </row>
    <row r="54" spans="1:8" s="20" customFormat="1" ht="13.5" customHeight="1">
      <c r="A54" s="215"/>
      <c r="B54" s="21" t="s">
        <v>81</v>
      </c>
      <c r="C54" s="22">
        <v>269267</v>
      </c>
      <c r="D54" s="22">
        <v>106513</v>
      </c>
      <c r="E54" s="22">
        <v>349365</v>
      </c>
      <c r="F54" s="22">
        <v>0</v>
      </c>
      <c r="G54" s="22">
        <v>237107</v>
      </c>
      <c r="H54" s="22">
        <v>239584</v>
      </c>
    </row>
    <row r="55" spans="1:8" s="20" customFormat="1" ht="13.5" customHeight="1">
      <c r="A55" s="219"/>
      <c r="B55" s="33" t="s">
        <v>199</v>
      </c>
      <c r="C55" s="39">
        <v>-568751</v>
      </c>
      <c r="D55" s="39">
        <v>80086</v>
      </c>
      <c r="E55" s="39">
        <v>-280403.59999999998</v>
      </c>
      <c r="F55" s="39">
        <v>0</v>
      </c>
      <c r="G55" s="39">
        <v>0</v>
      </c>
      <c r="H55" s="39">
        <v>148927</v>
      </c>
    </row>
    <row r="56" spans="1:8" s="20" customFormat="1" ht="13.5" customHeight="1">
      <c r="A56" s="192" t="s">
        <v>200</v>
      </c>
      <c r="B56" s="33"/>
      <c r="C56" s="22">
        <f t="shared" ref="C56" si="3">+C32-C52</f>
        <v>-108933.63000000082</v>
      </c>
      <c r="D56" s="22">
        <f t="shared" ref="D56:H56" si="4">+D32-D52</f>
        <v>-121120.16999999993</v>
      </c>
      <c r="E56" s="22">
        <f t="shared" si="4"/>
        <v>77175</v>
      </c>
      <c r="F56" s="22">
        <f t="shared" si="4"/>
        <v>-857260</v>
      </c>
      <c r="G56" s="22">
        <f t="shared" si="4"/>
        <v>215855</v>
      </c>
      <c r="H56" s="22">
        <f t="shared" si="4"/>
        <v>103866</v>
      </c>
    </row>
    <row r="57" spans="1:8" s="20" customFormat="1" ht="13.5" customHeight="1">
      <c r="A57" s="192" t="s">
        <v>201</v>
      </c>
      <c r="B57" s="33"/>
      <c r="C57" s="22">
        <f t="shared" ref="C57" si="5">+C32-C52-C54-C55</f>
        <v>190550.36999999918</v>
      </c>
      <c r="D57" s="22">
        <f t="shared" ref="D57:H57" si="6">+D32-D52-D54-D55</f>
        <v>-307719.16999999993</v>
      </c>
      <c r="E57" s="22">
        <f t="shared" si="6"/>
        <v>8213.5999999999767</v>
      </c>
      <c r="F57" s="22">
        <f t="shared" si="6"/>
        <v>-857260</v>
      </c>
      <c r="G57" s="22">
        <f t="shared" si="6"/>
        <v>-21252</v>
      </c>
      <c r="H57" s="22">
        <f t="shared" si="6"/>
        <v>-284645</v>
      </c>
    </row>
    <row r="58" spans="1:8" s="20" customFormat="1" ht="13.5" customHeight="1">
      <c r="A58" s="192" t="s">
        <v>202</v>
      </c>
      <c r="B58" s="33"/>
      <c r="C58" s="22">
        <f t="shared" ref="C58" si="7">+C12+C13+C14+C32+-C52</f>
        <v>-76446.63000000082</v>
      </c>
      <c r="D58" s="22">
        <f t="shared" ref="D58:H58" si="8">+D12+D13+D14+D32+-D52</f>
        <v>-88633.169999999925</v>
      </c>
      <c r="E58" s="22">
        <f t="shared" si="8"/>
        <v>112727</v>
      </c>
      <c r="F58" s="22">
        <f t="shared" si="8"/>
        <v>9303</v>
      </c>
      <c r="G58" s="22">
        <f t="shared" si="8"/>
        <v>248342</v>
      </c>
      <c r="H58" s="22">
        <f t="shared" si="8"/>
        <v>203144</v>
      </c>
    </row>
    <row r="59" spans="1:8" s="20" customFormat="1" ht="13.5" customHeight="1">
      <c r="A59" s="192" t="s">
        <v>203</v>
      </c>
      <c r="B59" s="33"/>
      <c r="C59" s="22">
        <f t="shared" ref="C59" si="9">+C12+C13+C14+C32-C52-C54-C55</f>
        <v>223037.36999999918</v>
      </c>
      <c r="D59" s="22">
        <f t="shared" ref="D59:H59" si="10">+D12+D13+D14+D32-D52-D54-D55</f>
        <v>-275232.16999999993</v>
      </c>
      <c r="E59" s="22">
        <f t="shared" si="10"/>
        <v>43765.599999999977</v>
      </c>
      <c r="F59" s="22">
        <f t="shared" si="10"/>
        <v>9303</v>
      </c>
      <c r="G59" s="22">
        <f t="shared" si="10"/>
        <v>11235</v>
      </c>
      <c r="H59" s="22">
        <f t="shared" si="10"/>
        <v>-185367</v>
      </c>
    </row>
    <row r="60" spans="1:8" ht="13.5" customHeight="1">
      <c r="A60" s="213" t="s">
        <v>219</v>
      </c>
      <c r="B60" s="11"/>
      <c r="C60" s="35"/>
      <c r="D60" s="35"/>
      <c r="E60" s="35"/>
      <c r="F60" s="34"/>
      <c r="G60" s="34"/>
      <c r="H60" s="35"/>
    </row>
    <row r="61" spans="1:8" ht="13.5" customHeight="1">
      <c r="A61" s="217"/>
      <c r="B61" s="23" t="s">
        <v>39</v>
      </c>
      <c r="C61" s="29">
        <v>-814342.96999999892</v>
      </c>
      <c r="D61" s="29">
        <v>-646648.29</v>
      </c>
      <c r="E61" s="16">
        <v>324983.59999999998</v>
      </c>
      <c r="F61" s="15">
        <v>97209</v>
      </c>
      <c r="G61" s="15">
        <v>114078</v>
      </c>
      <c r="H61" s="16">
        <v>110556</v>
      </c>
    </row>
    <row r="62" spans="1:8" ht="13.5" customHeight="1">
      <c r="A62" s="217"/>
      <c r="B62" s="23" t="s">
        <v>212</v>
      </c>
      <c r="C62" s="29">
        <v>-275777.33999999997</v>
      </c>
      <c r="D62" s="29">
        <v>-972027.36999999988</v>
      </c>
      <c r="E62" s="16">
        <v>-874285</v>
      </c>
      <c r="F62" s="15">
        <v>0</v>
      </c>
      <c r="G62" s="15">
        <v>0</v>
      </c>
      <c r="H62" s="16">
        <v>-2041365</v>
      </c>
    </row>
    <row r="63" spans="1:8" ht="13.5" customHeight="1">
      <c r="A63" s="217"/>
      <c r="B63" s="23" t="s">
        <v>40</v>
      </c>
      <c r="C63" s="29">
        <v>0</v>
      </c>
      <c r="D63" s="29">
        <v>0</v>
      </c>
      <c r="E63" s="16">
        <v>0</v>
      </c>
      <c r="F63" s="15">
        <v>11500</v>
      </c>
      <c r="G63" s="15">
        <v>0</v>
      </c>
      <c r="H63" s="16">
        <v>100804</v>
      </c>
    </row>
    <row r="64" spans="1:8" s="37" customFormat="1" ht="13.5" customHeight="1">
      <c r="A64" s="217"/>
      <c r="B64" s="23" t="s">
        <v>41</v>
      </c>
      <c r="C64" s="29">
        <v>2354349.1399999987</v>
      </c>
      <c r="D64" s="29">
        <v>1250123.23</v>
      </c>
      <c r="E64" s="16">
        <v>3007721</v>
      </c>
      <c r="F64" s="15">
        <v>0</v>
      </c>
      <c r="G64" s="15">
        <v>1244189</v>
      </c>
      <c r="H64" s="16">
        <v>435538</v>
      </c>
    </row>
    <row r="65" spans="1:9" s="20" customFormat="1" ht="13.5" customHeight="1">
      <c r="A65" s="192"/>
      <c r="B65" s="38" t="s">
        <v>43</v>
      </c>
      <c r="C65" s="52">
        <f t="shared" ref="C65:H65" si="11">SUM(C61:C64)</f>
        <v>1264228.8299999998</v>
      </c>
      <c r="D65" s="52">
        <f t="shared" si="11"/>
        <v>-368552.42999999993</v>
      </c>
      <c r="E65" s="52">
        <f t="shared" si="11"/>
        <v>2458419.6</v>
      </c>
      <c r="F65" s="52">
        <f t="shared" si="11"/>
        <v>108709</v>
      </c>
      <c r="G65" s="52">
        <f t="shared" si="11"/>
        <v>1358267</v>
      </c>
      <c r="H65" s="52">
        <f t="shared" si="11"/>
        <v>-1394467</v>
      </c>
    </row>
    <row r="66" spans="1:9" s="86" customFormat="1" ht="13.5" customHeight="1">
      <c r="A66" s="227" t="s">
        <v>82</v>
      </c>
      <c r="B66" s="227"/>
      <c r="C66" s="231">
        <f t="shared" ref="C66:H66" si="12">C61/(C52)</f>
        <v>-0.33159865177628484</v>
      </c>
      <c r="D66" s="231">
        <f t="shared" si="12"/>
        <v>-0.17815106672410533</v>
      </c>
      <c r="E66" s="231">
        <f t="shared" si="12"/>
        <v>0.1426921886354206</v>
      </c>
      <c r="F66" s="231">
        <f t="shared" si="12"/>
        <v>2.1788162905680111E-2</v>
      </c>
      <c r="G66" s="231">
        <f t="shared" si="12"/>
        <v>1.4828408338474233E-2</v>
      </c>
      <c r="H66" s="231">
        <f t="shared" si="12"/>
        <v>3.7809461599231195E-2</v>
      </c>
    </row>
    <row r="67" spans="1:9" s="74" customFormat="1" ht="12.75" hidden="1" customHeight="1">
      <c r="A67" s="73"/>
      <c r="B67" s="73" t="s">
        <v>83</v>
      </c>
      <c r="C67" s="62">
        <f t="shared" ref="C67" si="13">+C10+C12+C13+C14+C32-C52-C54-C65-C55</f>
        <v>1.539999999338761</v>
      </c>
      <c r="D67" s="62">
        <f t="shared" ref="D67:H67" si="14">+D10+D12+D13+D14+D32-D52-D54-D65-D55</f>
        <v>1.8299999993760139</v>
      </c>
      <c r="E67" s="62">
        <f t="shared" si="14"/>
        <v>0.99999999988358468</v>
      </c>
      <c r="F67" s="62">
        <f t="shared" si="14"/>
        <v>2</v>
      </c>
      <c r="G67" s="62">
        <f t="shared" si="14"/>
        <v>-2</v>
      </c>
      <c r="H67" s="62">
        <f t="shared" si="14"/>
        <v>1</v>
      </c>
    </row>
    <row r="68" spans="1:9" ht="12.75" hidden="1" customHeight="1">
      <c r="A68" s="47"/>
      <c r="B68" s="47"/>
      <c r="C68" s="62">
        <f t="shared" ref="C68" si="15">+C10+C59-C65</f>
        <v>1.539999999338761</v>
      </c>
      <c r="D68" s="62">
        <f t="shared" ref="D68:H68" si="16">+D10+D59-D65</f>
        <v>1.8299999993760139</v>
      </c>
      <c r="E68" s="62">
        <f t="shared" si="16"/>
        <v>1</v>
      </c>
      <c r="F68" s="73">
        <f t="shared" si="16"/>
        <v>2</v>
      </c>
      <c r="G68" s="73">
        <f t="shared" si="16"/>
        <v>-2</v>
      </c>
      <c r="H68" s="73">
        <f t="shared" si="16"/>
        <v>1</v>
      </c>
    </row>
    <row r="69" spans="1:9">
      <c r="A69" s="47"/>
      <c r="B69" s="47"/>
      <c r="C69" s="62"/>
      <c r="D69" s="62"/>
      <c r="E69" s="62"/>
      <c r="F69" s="73"/>
      <c r="G69" s="73"/>
      <c r="H69" s="73"/>
    </row>
    <row r="70" spans="1:9" ht="12.75" customHeight="1">
      <c r="A70" s="140" t="s">
        <v>193</v>
      </c>
      <c r="B70" s="48"/>
      <c r="C70" s="48"/>
      <c r="D70" s="48"/>
      <c r="E70" s="62"/>
      <c r="F70" s="73"/>
      <c r="G70" s="73"/>
      <c r="H70" s="73"/>
    </row>
    <row r="71" spans="1:9" ht="12.75" customHeight="1">
      <c r="A71" s="137" t="s">
        <v>194</v>
      </c>
      <c r="B71" s="48"/>
      <c r="C71" s="48"/>
      <c r="D71" s="48"/>
      <c r="E71" s="44"/>
    </row>
    <row r="72" spans="1:9" ht="12.75" customHeight="1">
      <c r="A72" s="138" t="s">
        <v>84</v>
      </c>
      <c r="B72" s="48"/>
      <c r="C72" s="48"/>
      <c r="D72" s="48"/>
      <c r="E72" s="44"/>
    </row>
    <row r="73" spans="1:9">
      <c r="A73" s="139"/>
      <c r="B73" s="48"/>
      <c r="C73" s="48"/>
      <c r="D73" s="48"/>
      <c r="E73" s="44"/>
    </row>
    <row r="74" spans="1:9" ht="12.75" customHeight="1">
      <c r="A74" s="137" t="s">
        <v>195</v>
      </c>
      <c r="B74" s="48"/>
      <c r="C74" s="48"/>
      <c r="D74" s="48"/>
      <c r="E74" s="44"/>
    </row>
    <row r="75" spans="1:9" ht="12.75" customHeight="1">
      <c r="A75" s="137" t="s">
        <v>85</v>
      </c>
      <c r="B75" s="48"/>
      <c r="C75" s="48"/>
      <c r="D75" s="48"/>
      <c r="E75" s="44"/>
    </row>
    <row r="76" spans="1:9" ht="12.75" customHeight="1">
      <c r="A76" s="137" t="s">
        <v>86</v>
      </c>
      <c r="B76" s="108"/>
      <c r="C76" s="109"/>
      <c r="D76" s="109"/>
      <c r="E76" s="44"/>
    </row>
    <row r="77" spans="1:9" ht="16.5" customHeight="1">
      <c r="A77" s="101"/>
      <c r="B77" s="101"/>
      <c r="C77" s="101"/>
      <c r="D77" s="101"/>
      <c r="I77" s="53"/>
    </row>
    <row r="78" spans="1:9">
      <c r="A78" s="274"/>
      <c r="B78" s="275"/>
      <c r="C78" s="211"/>
      <c r="D78" s="211"/>
      <c r="E78" s="211"/>
      <c r="F78" s="211"/>
      <c r="G78" s="211"/>
      <c r="H78" s="211"/>
      <c r="I78" s="249"/>
    </row>
    <row r="79" spans="1:9" ht="79.5" customHeight="1">
      <c r="A79" s="276"/>
      <c r="B79" s="277"/>
      <c r="C79" s="247" t="str">
        <f t="shared" ref="C79:H79" si="17">C2</f>
        <v>2nd DAA,         San Joaquin County Fair</v>
      </c>
      <c r="D79" s="207" t="str">
        <f t="shared" si="17"/>
        <v>38th DAA, Stanislaus County Fair</v>
      </c>
      <c r="E79" s="207" t="str">
        <f t="shared" si="17"/>
        <v>46th DAA, Southern California Fair</v>
      </c>
      <c r="F79" s="207" t="str">
        <f t="shared" si="17"/>
        <v>Riverside County Fair &amp; National Date Festival
FY 16/17</v>
      </c>
      <c r="G79" s="207" t="str">
        <f t="shared" si="17"/>
        <v>Santa Clara County Fair</v>
      </c>
      <c r="H79" s="207" t="str">
        <f t="shared" si="17"/>
        <v>Solano County Fair</v>
      </c>
    </row>
    <row r="80" spans="1:9" ht="13.5" customHeight="1">
      <c r="A80" s="213" t="s">
        <v>87</v>
      </c>
      <c r="B80" s="27"/>
      <c r="C80" s="50"/>
      <c r="D80" s="50"/>
      <c r="E80" s="50"/>
      <c r="F80" s="49"/>
      <c r="G80" s="49"/>
      <c r="H80" s="51"/>
    </row>
    <row r="81" spans="1:8" ht="13.5" customHeight="1">
      <c r="A81" s="213" t="s">
        <v>88</v>
      </c>
      <c r="B81" s="27"/>
      <c r="C81" s="50"/>
      <c r="D81" s="50"/>
      <c r="E81" s="50"/>
      <c r="F81" s="49"/>
      <c r="G81" s="49"/>
      <c r="H81" s="51"/>
    </row>
    <row r="82" spans="1:8" ht="13.5" customHeight="1">
      <c r="A82" s="218"/>
      <c r="B82" s="27" t="s">
        <v>89</v>
      </c>
      <c r="C82" s="28"/>
      <c r="D82" s="28"/>
      <c r="E82" s="28"/>
      <c r="F82" s="17"/>
      <c r="G82" s="17"/>
      <c r="H82" s="18"/>
    </row>
    <row r="83" spans="1:8" ht="13.5" customHeight="1">
      <c r="A83" s="218"/>
      <c r="B83" s="27" t="s">
        <v>90</v>
      </c>
      <c r="C83" s="13">
        <v>0</v>
      </c>
      <c r="D83" s="13">
        <v>97713</v>
      </c>
      <c r="E83" s="13">
        <v>3136</v>
      </c>
      <c r="F83" s="12">
        <v>11500</v>
      </c>
      <c r="G83" s="12">
        <v>0</v>
      </c>
      <c r="H83" s="14">
        <v>0</v>
      </c>
    </row>
    <row r="84" spans="1:8" ht="13.5" customHeight="1">
      <c r="A84" s="218"/>
      <c r="B84" s="27" t="s">
        <v>91</v>
      </c>
      <c r="C84" s="28">
        <v>30924.98</v>
      </c>
      <c r="D84" s="28">
        <v>121698</v>
      </c>
      <c r="E84" s="28">
        <v>249264</v>
      </c>
      <c r="F84" s="17">
        <v>166219</v>
      </c>
      <c r="G84" s="17">
        <v>594988</v>
      </c>
      <c r="H84" s="18">
        <v>190671</v>
      </c>
    </row>
    <row r="85" spans="1:8" ht="13.5" customHeight="1">
      <c r="A85" s="218"/>
      <c r="B85" s="27" t="s">
        <v>92</v>
      </c>
      <c r="C85" s="28">
        <v>121418.06</v>
      </c>
      <c r="D85" s="28">
        <v>139490</v>
      </c>
      <c r="E85" s="28">
        <f>189726+44060</f>
        <v>233786</v>
      </c>
      <c r="F85" s="17">
        <v>6547</v>
      </c>
      <c r="G85" s="17">
        <v>253387</v>
      </c>
      <c r="H85" s="18">
        <v>252404</v>
      </c>
    </row>
    <row r="86" spans="1:8" ht="13.5" customHeight="1">
      <c r="A86" s="218"/>
      <c r="B86" s="27" t="s">
        <v>93</v>
      </c>
      <c r="C86" s="28">
        <v>425</v>
      </c>
      <c r="D86" s="28">
        <v>0</v>
      </c>
      <c r="E86" s="28">
        <v>16343</v>
      </c>
      <c r="F86" s="17">
        <v>0</v>
      </c>
      <c r="G86" s="17">
        <v>146531</v>
      </c>
      <c r="H86" s="18">
        <v>7386</v>
      </c>
    </row>
    <row r="87" spans="1:8" ht="13.5" customHeight="1">
      <c r="A87" s="218"/>
      <c r="B87" s="27" t="s">
        <v>94</v>
      </c>
      <c r="C87" s="28">
        <v>4920</v>
      </c>
      <c r="D87" s="28">
        <v>0</v>
      </c>
      <c r="E87" s="28">
        <v>0</v>
      </c>
      <c r="F87" s="17">
        <v>0</v>
      </c>
      <c r="G87" s="17">
        <v>107537</v>
      </c>
      <c r="H87" s="18">
        <v>0</v>
      </c>
    </row>
    <row r="88" spans="1:8" ht="13.5" customHeight="1">
      <c r="A88" s="218"/>
      <c r="B88" s="27" t="s">
        <v>95</v>
      </c>
      <c r="C88" s="28">
        <v>0</v>
      </c>
      <c r="D88" s="28">
        <v>7920</v>
      </c>
      <c r="E88" s="28">
        <v>0</v>
      </c>
      <c r="F88" s="17">
        <v>0</v>
      </c>
      <c r="G88" s="17">
        <v>0</v>
      </c>
      <c r="H88" s="18">
        <v>0</v>
      </c>
    </row>
    <row r="89" spans="1:8" ht="13.5" customHeight="1">
      <c r="A89" s="218"/>
      <c r="B89" s="27" t="s">
        <v>96</v>
      </c>
      <c r="C89" s="28">
        <v>248845.76</v>
      </c>
      <c r="D89" s="28">
        <v>72594</v>
      </c>
      <c r="E89" s="28">
        <v>450358</v>
      </c>
      <c r="F89" s="17">
        <v>0</v>
      </c>
      <c r="G89" s="17">
        <v>0</v>
      </c>
      <c r="H89" s="18">
        <v>167085</v>
      </c>
    </row>
    <row r="90" spans="1:8" ht="13.5" customHeight="1">
      <c r="A90" s="218"/>
      <c r="B90" s="27" t="s">
        <v>97</v>
      </c>
      <c r="C90" s="28">
        <v>11732331.529999999</v>
      </c>
      <c r="D90" s="28">
        <v>4119436</v>
      </c>
      <c r="E90" s="28">
        <v>12040741</v>
      </c>
      <c r="F90" s="17">
        <v>0</v>
      </c>
      <c r="G90" s="17">
        <v>1928333</v>
      </c>
      <c r="H90" s="18">
        <v>9792686</v>
      </c>
    </row>
    <row r="91" spans="1:8" ht="13.5" customHeight="1">
      <c r="A91" s="218"/>
      <c r="B91" s="27" t="s">
        <v>98</v>
      </c>
      <c r="C91" s="28">
        <v>546324.91</v>
      </c>
      <c r="D91" s="28">
        <v>434584</v>
      </c>
      <c r="E91" s="28">
        <v>283615</v>
      </c>
      <c r="F91" s="17">
        <v>0</v>
      </c>
      <c r="G91" s="17">
        <v>1271856</v>
      </c>
      <c r="H91" s="18">
        <v>395047</v>
      </c>
    </row>
    <row r="92" spans="1:8" ht="13.5" customHeight="1">
      <c r="A92" s="218"/>
      <c r="B92" s="27" t="s">
        <v>99</v>
      </c>
      <c r="C92" s="28">
        <v>0</v>
      </c>
      <c r="D92" s="28">
        <v>0</v>
      </c>
      <c r="E92" s="28">
        <v>0</v>
      </c>
      <c r="F92" s="17">
        <v>0</v>
      </c>
      <c r="G92" s="17">
        <v>0</v>
      </c>
      <c r="H92" s="18">
        <v>0</v>
      </c>
    </row>
    <row r="93" spans="1:8" ht="13.5" customHeight="1">
      <c r="A93" s="218"/>
      <c r="B93" s="27" t="s">
        <v>180</v>
      </c>
      <c r="C93" s="28">
        <v>0</v>
      </c>
      <c r="D93" s="28">
        <v>0</v>
      </c>
      <c r="E93" s="28">
        <v>0</v>
      </c>
      <c r="F93" s="17">
        <v>0</v>
      </c>
      <c r="G93" s="17">
        <v>0</v>
      </c>
      <c r="H93" s="18">
        <v>6000</v>
      </c>
    </row>
    <row r="94" spans="1:8" ht="13.5" customHeight="1">
      <c r="A94" s="218"/>
      <c r="B94" s="27" t="s">
        <v>100</v>
      </c>
      <c r="C94" s="28">
        <v>-10173153.060000001</v>
      </c>
      <c r="D94" s="28">
        <f>-2956618-373025</f>
        <v>-3329643</v>
      </c>
      <c r="E94" s="28">
        <f>-9085898-277965</f>
        <v>-9363863</v>
      </c>
      <c r="F94" s="17">
        <v>0</v>
      </c>
      <c r="G94" s="17">
        <f>-911831-927796</f>
        <v>-1839627</v>
      </c>
      <c r="H94" s="18">
        <f>-9145482-382164-400</f>
        <v>-9528046</v>
      </c>
    </row>
    <row r="95" spans="1:8" ht="13.5" customHeight="1">
      <c r="A95" s="218"/>
      <c r="B95" s="27" t="s">
        <v>101</v>
      </c>
      <c r="C95" s="28">
        <v>0</v>
      </c>
      <c r="D95" s="28">
        <v>0</v>
      </c>
      <c r="E95" s="28">
        <v>2</v>
      </c>
      <c r="F95" s="17">
        <v>0</v>
      </c>
      <c r="G95" s="17">
        <v>0</v>
      </c>
      <c r="H95" s="18">
        <v>0</v>
      </c>
    </row>
    <row r="96" spans="1:8" ht="13.5" customHeight="1">
      <c r="A96" s="201" t="s">
        <v>102</v>
      </c>
      <c r="B96" s="21"/>
      <c r="C96" s="22">
        <f t="shared" ref="C96" si="18">SUM(C82:C95)</f>
        <v>2512037.1799999997</v>
      </c>
      <c r="D96" s="22">
        <f t="shared" ref="D96:H96" si="19">SUM(D82:D95)</f>
        <v>1663792</v>
      </c>
      <c r="E96" s="22">
        <f t="shared" si="19"/>
        <v>3913382</v>
      </c>
      <c r="F96" s="22">
        <f t="shared" si="19"/>
        <v>184266</v>
      </c>
      <c r="G96" s="22">
        <f t="shared" si="19"/>
        <v>2463005</v>
      </c>
      <c r="H96" s="22">
        <f t="shared" si="19"/>
        <v>1283233</v>
      </c>
    </row>
    <row r="97" spans="1:8" ht="13.5" customHeight="1">
      <c r="A97" s="201" t="s">
        <v>207</v>
      </c>
      <c r="B97" s="21"/>
      <c r="C97" s="22">
        <v>254639</v>
      </c>
      <c r="D97" s="22">
        <v>298282</v>
      </c>
      <c r="E97" s="22">
        <v>217062</v>
      </c>
      <c r="F97" s="22">
        <v>0</v>
      </c>
      <c r="G97" s="22">
        <v>0</v>
      </c>
      <c r="H97" s="22">
        <v>109036</v>
      </c>
    </row>
    <row r="98" spans="1:8" s="41" customFormat="1" ht="13.5" customHeight="1">
      <c r="A98" s="223" t="s">
        <v>204</v>
      </c>
      <c r="B98" s="155"/>
      <c r="C98" s="156">
        <f t="shared" ref="C98" si="20">+C96+C97</f>
        <v>2766676.1799999997</v>
      </c>
      <c r="D98" s="156">
        <f t="shared" ref="D98:H98" si="21">+D96+D97</f>
        <v>1962074</v>
      </c>
      <c r="E98" s="156">
        <f t="shared" si="21"/>
        <v>4130444</v>
      </c>
      <c r="F98" s="156">
        <f t="shared" si="21"/>
        <v>184266</v>
      </c>
      <c r="G98" s="156">
        <f t="shared" si="21"/>
        <v>2463005</v>
      </c>
      <c r="H98" s="156">
        <f t="shared" si="21"/>
        <v>1392269</v>
      </c>
    </row>
    <row r="99" spans="1:8" ht="13.5" customHeight="1">
      <c r="A99" s="213" t="s">
        <v>205</v>
      </c>
      <c r="B99" s="27"/>
      <c r="C99" s="49"/>
      <c r="D99" s="49"/>
      <c r="E99" s="50"/>
      <c r="F99" s="49"/>
      <c r="G99" s="49"/>
      <c r="H99" s="51"/>
    </row>
    <row r="100" spans="1:8" ht="13.5" customHeight="1">
      <c r="A100" s="218"/>
      <c r="B100" s="27" t="s">
        <v>103</v>
      </c>
      <c r="C100" s="17">
        <v>1132.3</v>
      </c>
      <c r="D100" s="17">
        <v>15651</v>
      </c>
      <c r="E100" s="28">
        <v>0</v>
      </c>
      <c r="F100" s="17">
        <v>0</v>
      </c>
      <c r="G100" s="17">
        <v>2419</v>
      </c>
      <c r="H100" s="18">
        <v>0</v>
      </c>
    </row>
    <row r="101" spans="1:8" ht="13.5" customHeight="1">
      <c r="A101" s="218"/>
      <c r="B101" s="27" t="s">
        <v>104</v>
      </c>
      <c r="C101" s="17">
        <v>515807.05</v>
      </c>
      <c r="D101" s="17">
        <v>333447</v>
      </c>
      <c r="E101" s="28">
        <v>83887</v>
      </c>
      <c r="F101" s="17">
        <v>16607</v>
      </c>
      <c r="G101" s="17">
        <v>219727</v>
      </c>
      <c r="H101" s="18">
        <v>54361</v>
      </c>
    </row>
    <row r="102" spans="1:8" ht="13.5" customHeight="1">
      <c r="A102" s="218"/>
      <c r="B102" s="27" t="s">
        <v>105</v>
      </c>
      <c r="C102" s="17">
        <v>322448.16000000003</v>
      </c>
      <c r="D102" s="17">
        <v>14211</v>
      </c>
      <c r="E102" s="28">
        <f>15445+5622</f>
        <v>21067</v>
      </c>
      <c r="F102" s="17">
        <v>41926</v>
      </c>
      <c r="G102" s="17">
        <v>122938</v>
      </c>
      <c r="H102" s="18">
        <v>41650</v>
      </c>
    </row>
    <row r="103" spans="1:8" ht="13.5" customHeight="1">
      <c r="A103" s="218"/>
      <c r="B103" s="27" t="s">
        <v>106</v>
      </c>
      <c r="C103" s="17">
        <v>0</v>
      </c>
      <c r="D103" s="17">
        <v>253070</v>
      </c>
      <c r="E103" s="28">
        <v>0</v>
      </c>
      <c r="F103" s="17">
        <v>13501</v>
      </c>
      <c r="G103" s="17">
        <v>169981</v>
      </c>
      <c r="H103" s="18">
        <v>11324</v>
      </c>
    </row>
    <row r="104" spans="1:8" ht="13.5" customHeight="1">
      <c r="A104" s="218"/>
      <c r="B104" s="27" t="s">
        <v>107</v>
      </c>
      <c r="C104" s="17">
        <v>58135.95</v>
      </c>
      <c r="D104" s="17">
        <v>37410</v>
      </c>
      <c r="E104" s="28">
        <v>3041</v>
      </c>
      <c r="F104" s="17">
        <v>3524</v>
      </c>
      <c r="G104" s="17">
        <v>0</v>
      </c>
      <c r="H104" s="18">
        <v>0</v>
      </c>
    </row>
    <row r="105" spans="1:8" ht="13.5" customHeight="1">
      <c r="A105" s="218"/>
      <c r="B105" s="27" t="s">
        <v>108</v>
      </c>
      <c r="C105" s="17">
        <v>14900</v>
      </c>
      <c r="D105" s="17">
        <v>30275</v>
      </c>
      <c r="E105" s="28">
        <v>3500</v>
      </c>
      <c r="F105" s="17">
        <v>0</v>
      </c>
      <c r="G105" s="17">
        <v>0</v>
      </c>
      <c r="H105" s="18">
        <v>52559</v>
      </c>
    </row>
    <row r="106" spans="1:8" ht="13.5" customHeight="1">
      <c r="A106" s="218"/>
      <c r="B106" s="27" t="s">
        <v>109</v>
      </c>
      <c r="C106" s="17">
        <v>59607.55</v>
      </c>
      <c r="D106" s="17">
        <v>50788</v>
      </c>
      <c r="E106" s="28">
        <v>34302</v>
      </c>
      <c r="F106" s="17">
        <v>0</v>
      </c>
      <c r="G106" s="17">
        <v>214203</v>
      </c>
      <c r="H106" s="18">
        <v>71867</v>
      </c>
    </row>
    <row r="107" spans="1:8" ht="13.5" customHeight="1">
      <c r="A107" s="218"/>
      <c r="B107" s="27" t="s">
        <v>110</v>
      </c>
      <c r="C107" s="17">
        <v>0</v>
      </c>
      <c r="D107" s="17">
        <v>54768</v>
      </c>
      <c r="E107" s="28">
        <v>403132</v>
      </c>
      <c r="F107" s="17">
        <v>0</v>
      </c>
      <c r="G107" s="17">
        <v>375470</v>
      </c>
      <c r="H107" s="18">
        <v>391634</v>
      </c>
    </row>
    <row r="108" spans="1:8" ht="13.5" customHeight="1">
      <c r="A108" s="218"/>
      <c r="B108" s="27" t="s">
        <v>210</v>
      </c>
      <c r="C108" s="28">
        <v>529201.18999999994</v>
      </c>
      <c r="D108" s="28">
        <v>1267399</v>
      </c>
      <c r="E108" s="28">
        <v>1088847</v>
      </c>
      <c r="F108" s="17">
        <v>0</v>
      </c>
      <c r="G108" s="17">
        <v>0</v>
      </c>
      <c r="H108" s="18">
        <v>1872281</v>
      </c>
    </row>
    <row r="109" spans="1:8" ht="13.5" customHeight="1">
      <c r="A109" s="201" t="s">
        <v>209</v>
      </c>
      <c r="B109" s="21"/>
      <c r="C109" s="22">
        <f t="shared" ref="C109" si="22">SUM(C100:C108)</f>
        <v>1501232.2</v>
      </c>
      <c r="D109" s="22">
        <f t="shared" ref="D109:H109" si="23">SUM(D100:D108)</f>
        <v>2057019</v>
      </c>
      <c r="E109" s="22">
        <f t="shared" si="23"/>
        <v>1637776</v>
      </c>
      <c r="F109" s="22">
        <f t="shared" si="23"/>
        <v>75558</v>
      </c>
      <c r="G109" s="22">
        <f t="shared" si="23"/>
        <v>1104738</v>
      </c>
      <c r="H109" s="22">
        <f t="shared" si="23"/>
        <v>2495676</v>
      </c>
    </row>
    <row r="110" spans="1:8" ht="13.5" customHeight="1">
      <c r="A110" s="201" t="s">
        <v>208</v>
      </c>
      <c r="B110" s="21"/>
      <c r="C110" s="22">
        <v>1215.1500000000001</v>
      </c>
      <c r="D110" s="22">
        <v>2910</v>
      </c>
      <c r="E110" s="22">
        <v>2500</v>
      </c>
      <c r="F110" s="22">
        <v>0</v>
      </c>
      <c r="G110" s="22">
        <v>0</v>
      </c>
      <c r="H110" s="22">
        <v>278120</v>
      </c>
    </row>
    <row r="111" spans="1:8" s="41" customFormat="1" ht="13.5" customHeight="1">
      <c r="A111" s="223" t="s">
        <v>206</v>
      </c>
      <c r="B111" s="155"/>
      <c r="C111" s="156">
        <f t="shared" ref="C111" si="24">+C109+C110</f>
        <v>1502447.3499999999</v>
      </c>
      <c r="D111" s="156">
        <f t="shared" ref="D111:H111" si="25">+D109+D110</f>
        <v>2059929</v>
      </c>
      <c r="E111" s="156">
        <f t="shared" si="25"/>
        <v>1640276</v>
      </c>
      <c r="F111" s="156">
        <f t="shared" si="25"/>
        <v>75558</v>
      </c>
      <c r="G111" s="156">
        <f t="shared" si="25"/>
        <v>1104738</v>
      </c>
      <c r="H111" s="156">
        <f t="shared" si="25"/>
        <v>2773796</v>
      </c>
    </row>
    <row r="112" spans="1:8" ht="13.5" customHeight="1">
      <c r="A112" s="213" t="s">
        <v>111</v>
      </c>
      <c r="B112" s="27"/>
      <c r="C112" s="49"/>
      <c r="D112" s="49"/>
      <c r="E112" s="50"/>
      <c r="F112" s="49"/>
      <c r="G112" s="49"/>
      <c r="H112" s="51" t="s">
        <v>172</v>
      </c>
    </row>
    <row r="113" spans="1:8" ht="13.5" customHeight="1">
      <c r="A113" s="218"/>
      <c r="B113" s="27" t="s">
        <v>112</v>
      </c>
      <c r="C113" s="17">
        <v>0</v>
      </c>
      <c r="D113" s="17">
        <v>270699</v>
      </c>
      <c r="E113" s="28">
        <v>31750</v>
      </c>
      <c r="F113" s="17">
        <v>0</v>
      </c>
      <c r="G113" s="17">
        <v>0</v>
      </c>
      <c r="H113" s="18">
        <v>12940</v>
      </c>
    </row>
    <row r="114" spans="1:8" ht="13.5" customHeight="1">
      <c r="A114" s="218"/>
      <c r="B114" s="27" t="s">
        <v>39</v>
      </c>
      <c r="C114" s="17">
        <v>-814342.96999999892</v>
      </c>
      <c r="D114" s="17">
        <f t="shared" ref="D114:H114" si="26">D61</f>
        <v>-646648.29</v>
      </c>
      <c r="E114" s="17">
        <f t="shared" si="26"/>
        <v>324983.59999999998</v>
      </c>
      <c r="F114" s="17">
        <f t="shared" si="26"/>
        <v>97209</v>
      </c>
      <c r="G114" s="17">
        <f t="shared" si="26"/>
        <v>114078</v>
      </c>
      <c r="H114" s="17">
        <f t="shared" si="26"/>
        <v>110556</v>
      </c>
    </row>
    <row r="115" spans="1:8" ht="13.5" customHeight="1">
      <c r="A115" s="218"/>
      <c r="B115" s="27" t="s">
        <v>212</v>
      </c>
      <c r="C115" s="17">
        <v>-275777.33999999997</v>
      </c>
      <c r="D115" s="17">
        <f t="shared" ref="D115:H117" si="27">D62</f>
        <v>-972027.36999999988</v>
      </c>
      <c r="E115" s="17">
        <f t="shared" si="27"/>
        <v>-874285</v>
      </c>
      <c r="F115" s="17">
        <f t="shared" si="27"/>
        <v>0</v>
      </c>
      <c r="G115" s="17">
        <f t="shared" si="27"/>
        <v>0</v>
      </c>
      <c r="H115" s="17">
        <f t="shared" si="27"/>
        <v>-2041365</v>
      </c>
    </row>
    <row r="116" spans="1:8" ht="13.5" customHeight="1">
      <c r="A116" s="218"/>
      <c r="B116" s="27" t="s">
        <v>40</v>
      </c>
      <c r="C116" s="17"/>
      <c r="D116" s="17">
        <f t="shared" si="27"/>
        <v>0</v>
      </c>
      <c r="E116" s="17">
        <f t="shared" si="27"/>
        <v>0</v>
      </c>
      <c r="F116" s="17">
        <f t="shared" si="27"/>
        <v>11500</v>
      </c>
      <c r="G116" s="17">
        <f t="shared" si="27"/>
        <v>0</v>
      </c>
      <c r="H116" s="17">
        <f t="shared" si="27"/>
        <v>100804</v>
      </c>
    </row>
    <row r="117" spans="1:8" ht="13.5" customHeight="1">
      <c r="A117" s="218"/>
      <c r="B117" s="27" t="s">
        <v>113</v>
      </c>
      <c r="C117" s="17">
        <v>2354349.1399999987</v>
      </c>
      <c r="D117" s="17">
        <f t="shared" si="27"/>
        <v>1250123.23</v>
      </c>
      <c r="E117" s="17">
        <f t="shared" si="27"/>
        <v>3007721</v>
      </c>
      <c r="F117" s="17">
        <f t="shared" si="27"/>
        <v>0</v>
      </c>
      <c r="G117" s="17">
        <f t="shared" si="27"/>
        <v>1244189</v>
      </c>
      <c r="H117" s="17">
        <f t="shared" si="27"/>
        <v>435538</v>
      </c>
    </row>
    <row r="118" spans="1:8" ht="13.5" customHeight="1">
      <c r="A118" s="224"/>
      <c r="B118" s="54" t="s">
        <v>101</v>
      </c>
      <c r="C118" s="55">
        <v>0</v>
      </c>
      <c r="D118" s="55">
        <v>0</v>
      </c>
      <c r="E118" s="56"/>
      <c r="F118" s="55">
        <v>-1</v>
      </c>
      <c r="G118" s="55">
        <v>0</v>
      </c>
      <c r="H118" s="57">
        <v>0</v>
      </c>
    </row>
    <row r="119" spans="1:8" s="20" customFormat="1" ht="13.5" customHeight="1">
      <c r="A119" s="201" t="s">
        <v>43</v>
      </c>
      <c r="B119" s="58"/>
      <c r="C119" s="59">
        <f t="shared" ref="C119:H119" si="28">SUM(C113:C118)</f>
        <v>1264228.8299999998</v>
      </c>
      <c r="D119" s="59">
        <f t="shared" si="28"/>
        <v>-97853.429999999935</v>
      </c>
      <c r="E119" s="59">
        <f t="shared" si="28"/>
        <v>2490169.6</v>
      </c>
      <c r="F119" s="59">
        <f t="shared" si="28"/>
        <v>108708</v>
      </c>
      <c r="G119" s="59">
        <f t="shared" si="28"/>
        <v>1358267</v>
      </c>
      <c r="H119" s="59">
        <f t="shared" si="28"/>
        <v>-1381527</v>
      </c>
    </row>
    <row r="120" spans="1:8" s="41" customFormat="1">
      <c r="A120" s="223" t="s">
        <v>211</v>
      </c>
      <c r="B120" s="155"/>
      <c r="C120" s="156">
        <f t="shared" ref="C120:H120" si="29">SUM(C111:C118)</f>
        <v>2766676.1799999997</v>
      </c>
      <c r="D120" s="156">
        <f t="shared" si="29"/>
        <v>1962075.57</v>
      </c>
      <c r="E120" s="156">
        <f t="shared" si="29"/>
        <v>4130445.6</v>
      </c>
      <c r="F120" s="156">
        <f t="shared" si="29"/>
        <v>184266</v>
      </c>
      <c r="G120" s="156">
        <f t="shared" si="29"/>
        <v>2463005</v>
      </c>
      <c r="H120" s="156">
        <f t="shared" si="29"/>
        <v>1392269</v>
      </c>
    </row>
    <row r="121" spans="1:8" ht="12.75" hidden="1" customHeight="1">
      <c r="A121" s="61"/>
      <c r="B121" s="53" t="s">
        <v>83</v>
      </c>
      <c r="C121" s="87">
        <f t="shared" ref="C121:G121" si="30">+C98-C120</f>
        <v>0</v>
      </c>
      <c r="D121" s="87">
        <f t="shared" si="30"/>
        <v>-1.5700000000651926</v>
      </c>
      <c r="E121" s="87">
        <f t="shared" si="30"/>
        <v>-1.6000000000931323</v>
      </c>
      <c r="F121" s="87">
        <f t="shared" si="30"/>
        <v>0</v>
      </c>
      <c r="G121" s="87">
        <f t="shared" si="30"/>
        <v>0</v>
      </c>
      <c r="H121" s="166">
        <f>+H98-H120</f>
        <v>0</v>
      </c>
    </row>
    <row r="122" spans="1:8">
      <c r="A122" s="53"/>
      <c r="B122" s="78"/>
      <c r="C122" s="79"/>
      <c r="D122" s="79"/>
      <c r="E122" s="79"/>
      <c r="F122" s="79"/>
      <c r="G122" s="79"/>
      <c r="H122" s="79"/>
    </row>
    <row r="123" spans="1:8" ht="39.75" customHeight="1">
      <c r="A123" s="262" t="s">
        <v>114</v>
      </c>
      <c r="B123" s="263"/>
      <c r="C123" s="256">
        <f t="shared" ref="C123" si="31">C56/(C32)</f>
        <v>-4.6416451879665963E-2</v>
      </c>
      <c r="D123" s="256">
        <f t="shared" ref="D123:H123" si="32">D56/(D32)</f>
        <v>-3.4520400416474119E-2</v>
      </c>
      <c r="E123" s="256">
        <f t="shared" si="32"/>
        <v>3.2775014970123459E-2</v>
      </c>
      <c r="F123" s="256">
        <f t="shared" si="32"/>
        <v>-0.23784428060886315</v>
      </c>
      <c r="G123" s="256">
        <f t="shared" si="32"/>
        <v>2.7292114702364794E-2</v>
      </c>
      <c r="H123" s="256">
        <f t="shared" si="32"/>
        <v>3.4303027580868034E-2</v>
      </c>
    </row>
    <row r="124" spans="1:8" ht="24">
      <c r="A124" s="192"/>
      <c r="B124" s="193" t="s">
        <v>115</v>
      </c>
      <c r="C124" s="256"/>
      <c r="D124" s="256"/>
      <c r="E124" s="256"/>
      <c r="F124" s="256"/>
      <c r="G124" s="256"/>
      <c r="H124" s="256"/>
    </row>
    <row r="125" spans="1:8" ht="14.25">
      <c r="A125" s="194" t="s">
        <v>188</v>
      </c>
      <c r="B125" s="195"/>
      <c r="C125" s="253">
        <f t="shared" ref="C125" si="33">(SUM(C84:C85))/SUM(C100:C105)</f>
        <v>0.16696528166866734</v>
      </c>
      <c r="D125" s="253">
        <f t="shared" ref="D125:H125" si="34">(SUM(D84:D85))/SUM(D100:D105)</f>
        <v>0.38181807550170743</v>
      </c>
      <c r="E125" s="253">
        <f t="shared" si="34"/>
        <v>4.332481277187318</v>
      </c>
      <c r="F125" s="253">
        <f t="shared" si="34"/>
        <v>2.2865348474019958</v>
      </c>
      <c r="G125" s="253">
        <f t="shared" si="34"/>
        <v>1.6471222078766758</v>
      </c>
      <c r="H125" s="253">
        <f t="shared" si="34"/>
        <v>2.7710545736550465</v>
      </c>
    </row>
    <row r="126" spans="1:8" ht="36">
      <c r="A126" s="196"/>
      <c r="B126" s="197" t="s">
        <v>189</v>
      </c>
      <c r="C126" s="254"/>
      <c r="D126" s="254"/>
      <c r="E126" s="254"/>
      <c r="F126" s="254"/>
      <c r="G126" s="254"/>
      <c r="H126" s="254"/>
    </row>
    <row r="127" spans="1:8" ht="14.25">
      <c r="A127" s="194" t="s">
        <v>190</v>
      </c>
      <c r="B127" s="195"/>
      <c r="C127" s="253">
        <f t="shared" ref="C127" si="35">(SUM(C84:C85))/SUM(C100:C106)</f>
        <v>0.15672652254170369</v>
      </c>
      <c r="D127" s="253">
        <f t="shared" ref="D127:H127" si="36">(SUM(D84:D85))/SUM(D100:D106)</f>
        <v>0.35542939258517359</v>
      </c>
      <c r="E127" s="253">
        <f t="shared" si="36"/>
        <v>3.3131683093616466</v>
      </c>
      <c r="F127" s="253">
        <f t="shared" si="36"/>
        <v>2.2865348474019958</v>
      </c>
      <c r="G127" s="253">
        <f t="shared" si="36"/>
        <v>1.1633240454812224</v>
      </c>
      <c r="H127" s="253">
        <f t="shared" si="36"/>
        <v>1.9117754928568655</v>
      </c>
    </row>
    <row r="128" spans="1:8" ht="24">
      <c r="A128" s="196"/>
      <c r="B128" s="197" t="s">
        <v>191</v>
      </c>
      <c r="C128" s="254"/>
      <c r="D128" s="254"/>
      <c r="E128" s="254"/>
      <c r="F128" s="254"/>
      <c r="G128" s="254"/>
      <c r="H128" s="254"/>
    </row>
    <row r="129" spans="1:8" s="115" customFormat="1" ht="8.1" customHeight="1">
      <c r="A129" s="116"/>
      <c r="B129" s="117"/>
      <c r="C129" s="118"/>
      <c r="D129" s="118"/>
      <c r="E129" s="118"/>
      <c r="F129" s="118"/>
      <c r="G129" s="118"/>
      <c r="H129" s="119"/>
    </row>
    <row r="130" spans="1:8">
      <c r="A130" s="199" t="s">
        <v>116</v>
      </c>
      <c r="B130" s="58"/>
      <c r="C130" s="255">
        <f t="shared" ref="C130" si="37">C111/C98</f>
        <v>0.54305139172449157</v>
      </c>
      <c r="D130" s="255">
        <f t="shared" ref="D130:H130" si="38">D111/D98</f>
        <v>1.0498732463709319</v>
      </c>
      <c r="E130" s="255">
        <f t="shared" si="38"/>
        <v>0.39711856643014648</v>
      </c>
      <c r="F130" s="255">
        <f t="shared" si="38"/>
        <v>0.41004851681807819</v>
      </c>
      <c r="G130" s="255">
        <f t="shared" si="38"/>
        <v>0.44853258519572636</v>
      </c>
      <c r="H130" s="255">
        <f t="shared" si="38"/>
        <v>1.9922845369680715</v>
      </c>
    </row>
    <row r="131" spans="1:8" ht="25.5">
      <c r="A131" s="192"/>
      <c r="B131" s="198" t="s">
        <v>117</v>
      </c>
      <c r="C131" s="255"/>
      <c r="D131" s="255"/>
      <c r="E131" s="255"/>
      <c r="F131" s="255"/>
      <c r="G131" s="255"/>
      <c r="H131" s="255"/>
    </row>
    <row r="132" spans="1:8">
      <c r="A132" s="199" t="s">
        <v>118</v>
      </c>
      <c r="B132" s="200"/>
      <c r="C132" s="255">
        <f t="shared" ref="C132" si="39">C119/C98</f>
        <v>0.45694860827550843</v>
      </c>
      <c r="D132" s="255">
        <f t="shared" ref="D132:H132" si="40">D119/D98</f>
        <v>-4.9872446197238192E-2</v>
      </c>
      <c r="E132" s="255">
        <f t="shared" si="40"/>
        <v>0.60288182093741016</v>
      </c>
      <c r="F132" s="255">
        <f t="shared" si="40"/>
        <v>0.58995148318192181</v>
      </c>
      <c r="G132" s="255">
        <f t="shared" si="40"/>
        <v>0.55146741480427364</v>
      </c>
      <c r="H132" s="255">
        <f t="shared" si="40"/>
        <v>-0.99228453696807151</v>
      </c>
    </row>
    <row r="133" spans="1:8" ht="24">
      <c r="A133" s="192"/>
      <c r="B133" s="193" t="s">
        <v>119</v>
      </c>
      <c r="C133" s="255"/>
      <c r="D133" s="255"/>
      <c r="E133" s="255"/>
      <c r="F133" s="255"/>
      <c r="G133" s="255"/>
      <c r="H133" s="255"/>
    </row>
    <row r="134" spans="1:8">
      <c r="A134" s="264" t="s">
        <v>120</v>
      </c>
      <c r="B134" s="265"/>
      <c r="C134" s="255">
        <f t="shared" ref="C134" si="41">C111/C119</f>
        <v>1.1884299063168811</v>
      </c>
      <c r="D134" s="255">
        <f t="shared" ref="D134:H134" si="42">D111/D119</f>
        <v>-21.051168058186629</v>
      </c>
      <c r="E134" s="255">
        <f t="shared" si="42"/>
        <v>0.65870051582028788</v>
      </c>
      <c r="F134" s="255">
        <f t="shared" si="42"/>
        <v>0.69505464179269238</v>
      </c>
      <c r="G134" s="255">
        <f t="shared" si="42"/>
        <v>0.81334376819874143</v>
      </c>
      <c r="H134" s="255">
        <f t="shared" si="42"/>
        <v>-2.007775454261842</v>
      </c>
    </row>
    <row r="135" spans="1:8">
      <c r="A135" s="192"/>
      <c r="B135" s="193" t="s">
        <v>121</v>
      </c>
      <c r="C135" s="255"/>
      <c r="D135" s="255"/>
      <c r="E135" s="255"/>
      <c r="F135" s="255"/>
      <c r="G135" s="255"/>
      <c r="H135" s="255"/>
    </row>
    <row r="136" spans="1:8" s="115" customFormat="1" ht="8.1" customHeight="1">
      <c r="A136" s="120"/>
      <c r="B136" s="121"/>
      <c r="C136" s="130"/>
      <c r="D136" s="130"/>
      <c r="E136" s="130"/>
      <c r="F136" s="130"/>
      <c r="G136" s="130"/>
      <c r="H136" s="131"/>
    </row>
    <row r="137" spans="1:8">
      <c r="A137" s="201" t="s">
        <v>122</v>
      </c>
      <c r="B137" s="21"/>
      <c r="C137" s="91">
        <v>6</v>
      </c>
      <c r="D137" s="91">
        <v>4</v>
      </c>
      <c r="E137" s="91">
        <v>12</v>
      </c>
      <c r="F137" s="63">
        <v>7</v>
      </c>
      <c r="G137" s="63">
        <v>43</v>
      </c>
      <c r="H137" s="63">
        <v>11</v>
      </c>
    </row>
    <row r="138" spans="1:8" s="115" customFormat="1" ht="8.1" customHeight="1">
      <c r="A138" s="126"/>
      <c r="B138" s="121"/>
      <c r="C138" s="130"/>
      <c r="D138" s="130"/>
      <c r="E138" s="130"/>
      <c r="F138" s="130"/>
      <c r="G138" s="130"/>
      <c r="H138" s="131"/>
    </row>
    <row r="139" spans="1:8">
      <c r="A139" s="203" t="s">
        <v>123</v>
      </c>
      <c r="B139" s="203"/>
      <c r="C139" s="133">
        <v>13504</v>
      </c>
      <c r="D139" s="133">
        <v>103460</v>
      </c>
      <c r="E139" s="133">
        <v>48395</v>
      </c>
      <c r="F139" s="128">
        <v>115514</v>
      </c>
      <c r="G139" s="128">
        <v>27257</v>
      </c>
      <c r="H139" s="128">
        <v>17287</v>
      </c>
    </row>
    <row r="140" spans="1:8">
      <c r="A140" s="202" t="s">
        <v>124</v>
      </c>
      <c r="B140" s="202"/>
      <c r="C140" s="133">
        <v>16235</v>
      </c>
      <c r="D140" s="133">
        <v>32693</v>
      </c>
      <c r="E140" s="133">
        <v>6464</v>
      </c>
      <c r="F140" s="128">
        <v>49211</v>
      </c>
      <c r="G140" s="128">
        <v>3750</v>
      </c>
      <c r="H140" s="128">
        <v>14840</v>
      </c>
    </row>
    <row r="141" spans="1:8">
      <c r="A141" s="202" t="s">
        <v>125</v>
      </c>
      <c r="B141" s="202"/>
      <c r="C141" s="133">
        <v>29739</v>
      </c>
      <c r="D141" s="133">
        <v>136153</v>
      </c>
      <c r="E141" s="133">
        <v>54859</v>
      </c>
      <c r="F141" s="128">
        <v>164725</v>
      </c>
      <c r="G141" s="128">
        <v>31007</v>
      </c>
      <c r="H141" s="128">
        <v>32127</v>
      </c>
    </row>
    <row r="144" spans="1:8">
      <c r="A144" s="148"/>
      <c r="B144" s="48"/>
      <c r="C144" s="44"/>
      <c r="D144" s="44"/>
    </row>
    <row r="145" spans="1:4">
      <c r="A145" s="148"/>
      <c r="B145" s="48"/>
      <c r="C145" s="44"/>
      <c r="D145" s="44"/>
    </row>
  </sheetData>
  <mergeCells count="46">
    <mergeCell ref="A1:B3"/>
    <mergeCell ref="C2:C3"/>
    <mergeCell ref="D2:D3"/>
    <mergeCell ref="E2:E3"/>
    <mergeCell ref="H2:H3"/>
    <mergeCell ref="F2:F3"/>
    <mergeCell ref="G2:G3"/>
    <mergeCell ref="A123:B123"/>
    <mergeCell ref="A78:B79"/>
    <mergeCell ref="A134:B134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H123:H124"/>
    <mergeCell ref="D125:D126"/>
    <mergeCell ref="E125:E126"/>
    <mergeCell ref="F125:F126"/>
    <mergeCell ref="G125:G126"/>
    <mergeCell ref="H125:H126"/>
    <mergeCell ref="D127:D128"/>
    <mergeCell ref="E127:E128"/>
    <mergeCell ref="F127:F128"/>
    <mergeCell ref="G127:G128"/>
    <mergeCell ref="H127:H128"/>
    <mergeCell ref="D130:D131"/>
    <mergeCell ref="E130:E131"/>
    <mergeCell ref="F130:F131"/>
    <mergeCell ref="G130:G131"/>
    <mergeCell ref="H130:H131"/>
    <mergeCell ref="D132:D133"/>
    <mergeCell ref="E132:E133"/>
    <mergeCell ref="F132:F133"/>
    <mergeCell ref="G132:G133"/>
    <mergeCell ref="H132:H133"/>
    <mergeCell ref="D134:D135"/>
    <mergeCell ref="E134:E135"/>
    <mergeCell ref="F134:F135"/>
    <mergeCell ref="G134:G135"/>
    <mergeCell ref="H134:H135"/>
  </mergeCells>
  <conditionalFormatting sqref="E123:H124">
    <cfRule type="cellIs" dxfId="21" priority="8" operator="lessThan">
      <formula>0</formula>
    </cfRule>
  </conditionalFormatting>
  <conditionalFormatting sqref="E66:H66">
    <cfRule type="cellIs" dxfId="20" priority="7" operator="lessThan">
      <formula>0</formula>
    </cfRule>
  </conditionalFormatting>
  <conditionalFormatting sqref="D123:D124">
    <cfRule type="cellIs" dxfId="19" priority="6" operator="lessThan">
      <formula>0</formula>
    </cfRule>
  </conditionalFormatting>
  <conditionalFormatting sqref="D66">
    <cfRule type="cellIs" dxfId="18" priority="5" operator="lessThan">
      <formula>0</formula>
    </cfRule>
  </conditionalFormatting>
  <conditionalFormatting sqref="C123:C124">
    <cfRule type="cellIs" dxfId="17" priority="2" operator="lessThan">
      <formula>0</formula>
    </cfRule>
  </conditionalFormatting>
  <conditionalFormatting sqref="C66">
    <cfRule type="cellIs" dxfId="16" priority="1" operator="lessThan">
      <formula>0</formula>
    </cfRule>
  </conditionalFormatting>
  <printOptions horizontalCentered="1"/>
  <pageMargins left="0.5" right="0.5" top="0.75" bottom="0.35" header="0.5" footer="0.15"/>
  <pageSetup scale="64" fitToHeight="2" orientation="portrait" r:id="rId1"/>
  <headerFooter alignWithMargins="0">
    <oddHeader>&amp;C&amp;"Arial,Bold"&amp;12CLASS IV+ FAIRS</oddHeader>
    <oddFooter>&amp;CFairs and Expositions</oddFooter>
  </headerFooter>
  <rowBreaks count="1" manualBreakCount="1">
    <brk id="77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5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6" width="12.7109375" style="44" customWidth="1"/>
    <col min="7" max="16384" width="9.140625" style="10"/>
  </cols>
  <sheetData>
    <row r="1" spans="1:6" ht="12" customHeight="1">
      <c r="A1" s="266"/>
      <c r="B1" s="267"/>
      <c r="C1" s="211"/>
      <c r="D1" s="211"/>
      <c r="E1" s="211"/>
      <c r="F1" s="211"/>
    </row>
    <row r="2" spans="1:6" ht="12" customHeight="1">
      <c r="A2" s="268"/>
      <c r="B2" s="269"/>
      <c r="C2" s="272" t="s">
        <v>173</v>
      </c>
      <c r="D2" s="272" t="s">
        <v>174</v>
      </c>
      <c r="E2" s="272" t="s">
        <v>186</v>
      </c>
      <c r="F2" s="272" t="s">
        <v>196</v>
      </c>
    </row>
    <row r="3" spans="1:6" ht="69" customHeight="1">
      <c r="A3" s="270"/>
      <c r="B3" s="271"/>
      <c r="C3" s="273"/>
      <c r="D3" s="273"/>
      <c r="E3" s="273"/>
      <c r="F3" s="273"/>
    </row>
    <row r="4" spans="1:6" ht="13.5" customHeight="1">
      <c r="A4" s="213" t="s">
        <v>218</v>
      </c>
      <c r="B4" s="11"/>
      <c r="C4" s="36"/>
      <c r="D4" s="36"/>
      <c r="E4" s="36"/>
      <c r="F4" s="36"/>
    </row>
    <row r="5" spans="1:6" ht="13.5" customHeight="1">
      <c r="A5" s="218"/>
      <c r="B5" s="11" t="s">
        <v>39</v>
      </c>
      <c r="C5" s="13">
        <v>1228735</v>
      </c>
      <c r="D5" s="13">
        <v>-540272</v>
      </c>
      <c r="E5" s="13">
        <v>202482</v>
      </c>
      <c r="F5" s="14">
        <v>1877371</v>
      </c>
    </row>
    <row r="6" spans="1:6" ht="13.5" customHeight="1">
      <c r="A6" s="218"/>
      <c r="B6" s="11" t="s">
        <v>217</v>
      </c>
      <c r="C6" s="28">
        <v>-1114090</v>
      </c>
      <c r="D6" s="28">
        <v>-2817682</v>
      </c>
      <c r="E6" s="28">
        <v>-1936561</v>
      </c>
      <c r="F6" s="18">
        <v>0</v>
      </c>
    </row>
    <row r="7" spans="1:6" ht="13.5" customHeight="1">
      <c r="A7" s="218"/>
      <c r="B7" s="11" t="s">
        <v>40</v>
      </c>
      <c r="C7" s="28">
        <v>0</v>
      </c>
      <c r="D7" s="28">
        <v>0</v>
      </c>
      <c r="E7" s="28">
        <v>0</v>
      </c>
      <c r="F7" s="18">
        <v>0</v>
      </c>
    </row>
    <row r="8" spans="1:6" ht="13.5" customHeight="1">
      <c r="A8" s="218"/>
      <c r="B8" s="11" t="s">
        <v>41</v>
      </c>
      <c r="C8" s="18">
        <v>2087805</v>
      </c>
      <c r="D8" s="18">
        <v>2422232</v>
      </c>
      <c r="E8" s="18">
        <v>24727079</v>
      </c>
      <c r="F8" s="18">
        <v>3205895</v>
      </c>
    </row>
    <row r="9" spans="1:6" ht="13.5" customHeight="1">
      <c r="A9" s="218"/>
      <c r="B9" s="11" t="s">
        <v>42</v>
      </c>
      <c r="C9" s="18">
        <v>0</v>
      </c>
      <c r="D9" s="18">
        <v>380544</v>
      </c>
      <c r="E9" s="18">
        <v>0</v>
      </c>
      <c r="F9" s="18">
        <v>0</v>
      </c>
    </row>
    <row r="10" spans="1:6" s="20" customFormat="1" ht="13.5" customHeight="1" thickBot="1">
      <c r="A10" s="216"/>
      <c r="B10" s="84" t="s">
        <v>43</v>
      </c>
      <c r="C10" s="60">
        <f>SUM(C5:C9)</f>
        <v>2202450</v>
      </c>
      <c r="D10" s="60">
        <f>SUM(D5:D9)</f>
        <v>-555178</v>
      </c>
      <c r="E10" s="60">
        <f>SUM(E5:E9)</f>
        <v>22993000</v>
      </c>
      <c r="F10" s="60">
        <f>SUM(F5:F9)</f>
        <v>5083266</v>
      </c>
    </row>
    <row r="11" spans="1:6" s="20" customFormat="1" ht="13.5" customHeight="1">
      <c r="A11" s="192" t="s">
        <v>44</v>
      </c>
      <c r="B11" s="33"/>
      <c r="C11" s="39"/>
      <c r="D11" s="39"/>
      <c r="E11" s="39"/>
      <c r="F11" s="22"/>
    </row>
    <row r="12" spans="1:6" s="20" customFormat="1" ht="13.5" customHeight="1">
      <c r="A12" s="215"/>
      <c r="B12" s="21" t="s">
        <v>45</v>
      </c>
      <c r="C12" s="22">
        <v>0</v>
      </c>
      <c r="D12" s="22">
        <v>0</v>
      </c>
      <c r="E12" s="22">
        <v>0</v>
      </c>
      <c r="F12" s="22">
        <v>0</v>
      </c>
    </row>
    <row r="13" spans="1:6" s="20" customFormat="1" ht="13.5" customHeight="1">
      <c r="A13" s="215"/>
      <c r="B13" s="21" t="s">
        <v>46</v>
      </c>
      <c r="C13" s="22">
        <v>91125</v>
      </c>
      <c r="D13" s="22">
        <v>0</v>
      </c>
      <c r="E13" s="22">
        <v>0</v>
      </c>
      <c r="F13" s="22">
        <v>0</v>
      </c>
    </row>
    <row r="14" spans="1:6" s="20" customFormat="1" ht="13.5" customHeight="1" thickBot="1">
      <c r="A14" s="216"/>
      <c r="B14" s="30" t="s">
        <v>47</v>
      </c>
      <c r="C14" s="31">
        <v>0</v>
      </c>
      <c r="D14" s="31">
        <v>0</v>
      </c>
      <c r="E14" s="31">
        <v>0</v>
      </c>
      <c r="F14" s="31">
        <v>0</v>
      </c>
    </row>
    <row r="15" spans="1:6" ht="13.5" customHeight="1">
      <c r="A15" s="217" t="s">
        <v>48</v>
      </c>
      <c r="B15" s="23"/>
      <c r="C15" s="26"/>
      <c r="D15" s="26"/>
      <c r="E15" s="26"/>
      <c r="F15" s="26"/>
    </row>
    <row r="16" spans="1:6" ht="13.5" customHeight="1">
      <c r="A16" s="218"/>
      <c r="B16" s="27" t="s">
        <v>49</v>
      </c>
      <c r="C16" s="18">
        <v>350289</v>
      </c>
      <c r="D16" s="18">
        <v>1973500</v>
      </c>
      <c r="E16" s="18">
        <v>0</v>
      </c>
      <c r="F16" s="18">
        <v>704845</v>
      </c>
    </row>
    <row r="17" spans="1:6" ht="13.5" customHeight="1">
      <c r="A17" s="218"/>
      <c r="B17" s="27" t="s">
        <v>50</v>
      </c>
      <c r="C17" s="18">
        <v>11055</v>
      </c>
      <c r="D17" s="18">
        <v>377225</v>
      </c>
      <c r="E17" s="18">
        <v>0</v>
      </c>
      <c r="F17" s="18">
        <v>94528</v>
      </c>
    </row>
    <row r="18" spans="1:6" ht="13.5" customHeight="1">
      <c r="A18" s="218"/>
      <c r="B18" s="27" t="s">
        <v>51</v>
      </c>
      <c r="C18" s="18">
        <v>0</v>
      </c>
      <c r="D18" s="18">
        <v>1300573</v>
      </c>
      <c r="E18" s="18">
        <v>0</v>
      </c>
      <c r="F18" s="18">
        <v>280193</v>
      </c>
    </row>
    <row r="19" spans="1:6" ht="13.5" customHeight="1">
      <c r="A19" s="218"/>
      <c r="B19" s="27" t="s">
        <v>52</v>
      </c>
      <c r="C19" s="18">
        <v>140447</v>
      </c>
      <c r="D19" s="18">
        <v>1039282</v>
      </c>
      <c r="E19" s="18">
        <v>0</v>
      </c>
      <c r="F19" s="18">
        <v>317824</v>
      </c>
    </row>
    <row r="20" spans="1:6" ht="13.5" customHeight="1">
      <c r="A20" s="218"/>
      <c r="B20" s="27" t="s">
        <v>53</v>
      </c>
      <c r="C20" s="18">
        <v>104396</v>
      </c>
      <c r="D20" s="18">
        <v>14315</v>
      </c>
      <c r="E20" s="18">
        <v>0</v>
      </c>
      <c r="F20" s="18">
        <v>64962</v>
      </c>
    </row>
    <row r="21" spans="1:6" ht="13.5" customHeight="1">
      <c r="A21" s="218"/>
      <c r="B21" s="27" t="s">
        <v>54</v>
      </c>
      <c r="C21" s="18">
        <v>23006</v>
      </c>
      <c r="D21" s="18">
        <v>149465</v>
      </c>
      <c r="E21" s="18">
        <v>0</v>
      </c>
      <c r="F21" s="18">
        <v>3289541</v>
      </c>
    </row>
    <row r="22" spans="1:6" ht="13.5" customHeight="1">
      <c r="A22" s="218"/>
      <c r="B22" s="27" t="s">
        <v>55</v>
      </c>
      <c r="C22" s="16">
        <v>0</v>
      </c>
      <c r="D22" s="16">
        <v>0</v>
      </c>
      <c r="E22" s="16">
        <v>0</v>
      </c>
      <c r="F22" s="16">
        <v>0</v>
      </c>
    </row>
    <row r="23" spans="1:6" ht="13.5" customHeight="1">
      <c r="A23" s="218"/>
      <c r="B23" s="27" t="s">
        <v>56</v>
      </c>
      <c r="C23" s="18">
        <v>0</v>
      </c>
      <c r="D23" s="18">
        <v>0</v>
      </c>
      <c r="E23" s="18">
        <v>0</v>
      </c>
      <c r="F23" s="18">
        <v>2729588</v>
      </c>
    </row>
    <row r="24" spans="1:6" ht="13.5" customHeight="1">
      <c r="A24" s="218"/>
      <c r="B24" s="27" t="s">
        <v>57</v>
      </c>
      <c r="C24" s="18">
        <v>0</v>
      </c>
      <c r="D24" s="18">
        <v>76446</v>
      </c>
      <c r="E24" s="18">
        <v>0</v>
      </c>
      <c r="F24" s="18">
        <v>0</v>
      </c>
    </row>
    <row r="25" spans="1:6" ht="13.5" customHeight="1">
      <c r="A25" s="218"/>
      <c r="B25" s="27" t="s">
        <v>58</v>
      </c>
      <c r="C25" s="18">
        <v>0</v>
      </c>
      <c r="D25" s="18">
        <v>0</v>
      </c>
      <c r="E25" s="18">
        <v>0</v>
      </c>
      <c r="F25" s="18">
        <v>0</v>
      </c>
    </row>
    <row r="26" spans="1:6" ht="13.5" customHeight="1">
      <c r="A26" s="218"/>
      <c r="B26" s="27" t="s">
        <v>59</v>
      </c>
      <c r="C26" s="18">
        <v>0</v>
      </c>
      <c r="D26" s="18">
        <v>42222</v>
      </c>
      <c r="E26" s="18">
        <v>0</v>
      </c>
      <c r="F26" s="18">
        <v>0</v>
      </c>
    </row>
    <row r="27" spans="1:6" ht="13.5" customHeight="1">
      <c r="A27" s="218"/>
      <c r="B27" s="27" t="s">
        <v>60</v>
      </c>
      <c r="C27" s="18">
        <v>161618</v>
      </c>
      <c r="D27" s="18">
        <v>920048</v>
      </c>
      <c r="E27" s="18">
        <v>0</v>
      </c>
      <c r="F27" s="18">
        <v>461717</v>
      </c>
    </row>
    <row r="28" spans="1:6" ht="13.5" customHeight="1">
      <c r="A28" s="218"/>
      <c r="B28" s="27" t="s">
        <v>145</v>
      </c>
      <c r="C28" s="18">
        <v>0</v>
      </c>
      <c r="D28" s="18">
        <v>0</v>
      </c>
      <c r="E28" s="18">
        <v>0</v>
      </c>
      <c r="F28" s="18">
        <v>0</v>
      </c>
    </row>
    <row r="29" spans="1:6" ht="13.5" customHeight="1">
      <c r="A29" s="218"/>
      <c r="B29" s="27" t="s">
        <v>62</v>
      </c>
      <c r="C29" s="18">
        <v>3846791</v>
      </c>
      <c r="D29" s="18">
        <v>1481479</v>
      </c>
      <c r="E29" s="18">
        <v>0</v>
      </c>
      <c r="F29" s="18">
        <v>4213958</v>
      </c>
    </row>
    <row r="30" spans="1:6" ht="13.5" customHeight="1">
      <c r="A30" s="218"/>
      <c r="B30" s="27" t="s">
        <v>63</v>
      </c>
      <c r="C30" s="18">
        <v>43703</v>
      </c>
      <c r="D30" s="18">
        <v>0</v>
      </c>
      <c r="E30" s="18">
        <v>0</v>
      </c>
      <c r="F30" s="18">
        <v>42842</v>
      </c>
    </row>
    <row r="31" spans="1:6" ht="13.5" customHeight="1">
      <c r="A31" s="218"/>
      <c r="B31" s="27" t="s">
        <v>64</v>
      </c>
      <c r="C31" s="16">
        <v>176739</v>
      </c>
      <c r="D31" s="16">
        <v>155763</v>
      </c>
      <c r="E31" s="16">
        <v>65402.879999999997</v>
      </c>
      <c r="F31" s="16">
        <v>73521</v>
      </c>
    </row>
    <row r="32" spans="1:6" s="20" customFormat="1" ht="13.5" customHeight="1" thickBot="1">
      <c r="A32" s="214" t="s">
        <v>65</v>
      </c>
      <c r="B32" s="30"/>
      <c r="C32" s="31">
        <f>SUM(C16:C31)</f>
        <v>4858044</v>
      </c>
      <c r="D32" s="31">
        <f>SUM(D16:D31)</f>
        <v>7530318</v>
      </c>
      <c r="E32" s="31">
        <f>SUM(E16:E31)</f>
        <v>65402.879999999997</v>
      </c>
      <c r="F32" s="31">
        <f>SUM(F16:F31)</f>
        <v>12273519</v>
      </c>
    </row>
    <row r="33" spans="1:6" ht="13.5" customHeight="1">
      <c r="A33" s="217" t="s">
        <v>66</v>
      </c>
      <c r="B33" s="23"/>
      <c r="C33" s="26"/>
      <c r="D33" s="26"/>
      <c r="E33" s="26"/>
      <c r="F33" s="26"/>
    </row>
    <row r="34" spans="1:6" ht="13.5" customHeight="1">
      <c r="A34" s="218"/>
      <c r="B34" s="27" t="s">
        <v>67</v>
      </c>
      <c r="C34" s="18">
        <v>813898</v>
      </c>
      <c r="D34" s="18">
        <v>1286029</v>
      </c>
      <c r="E34" s="18">
        <v>16015</v>
      </c>
      <c r="F34" s="18">
        <v>2020480</v>
      </c>
    </row>
    <row r="35" spans="1:6" ht="13.5" customHeight="1">
      <c r="A35" s="218"/>
      <c r="B35" s="27" t="s">
        <v>68</v>
      </c>
      <c r="C35" s="18">
        <v>1024591</v>
      </c>
      <c r="D35" s="18">
        <v>2157936</v>
      </c>
      <c r="E35" s="18">
        <v>0</v>
      </c>
      <c r="F35" s="18">
        <v>2352824</v>
      </c>
    </row>
    <row r="36" spans="1:6" ht="13.5" customHeight="1">
      <c r="A36" s="218"/>
      <c r="B36" s="27" t="s">
        <v>69</v>
      </c>
      <c r="C36" s="18">
        <v>133118</v>
      </c>
      <c r="D36" s="18">
        <v>325521</v>
      </c>
      <c r="E36" s="18">
        <v>0</v>
      </c>
      <c r="F36" s="18">
        <v>721166</v>
      </c>
    </row>
    <row r="37" spans="1:6" ht="13.5" customHeight="1">
      <c r="A37" s="218"/>
      <c r="B37" s="27" t="s">
        <v>70</v>
      </c>
      <c r="C37" s="18">
        <v>0</v>
      </c>
      <c r="D37" s="18">
        <v>659055</v>
      </c>
      <c r="E37" s="18">
        <v>0</v>
      </c>
      <c r="F37" s="18">
        <v>335735</v>
      </c>
    </row>
    <row r="38" spans="1:6" ht="13.5" customHeight="1">
      <c r="A38" s="218"/>
      <c r="B38" s="27" t="s">
        <v>60</v>
      </c>
      <c r="C38" s="18">
        <v>370963</v>
      </c>
      <c r="D38" s="18">
        <v>295453</v>
      </c>
      <c r="E38" s="18">
        <v>0</v>
      </c>
      <c r="F38" s="18">
        <v>120401</v>
      </c>
    </row>
    <row r="39" spans="1:6" ht="13.5" customHeight="1">
      <c r="A39" s="218"/>
      <c r="B39" s="27" t="s">
        <v>71</v>
      </c>
      <c r="C39" s="18">
        <v>1029741</v>
      </c>
      <c r="D39" s="18">
        <v>0</v>
      </c>
      <c r="E39" s="18">
        <v>0</v>
      </c>
      <c r="F39" s="18">
        <v>1337933</v>
      </c>
    </row>
    <row r="40" spans="1:6" ht="13.5" customHeight="1">
      <c r="A40" s="218"/>
      <c r="B40" s="27" t="s">
        <v>72</v>
      </c>
      <c r="C40" s="18">
        <v>32800</v>
      </c>
      <c r="D40" s="18">
        <v>129408</v>
      </c>
      <c r="E40" s="18">
        <v>0</v>
      </c>
      <c r="F40" s="18">
        <v>55134</v>
      </c>
    </row>
    <row r="41" spans="1:6" ht="13.5" customHeight="1">
      <c r="A41" s="218"/>
      <c r="B41" s="27" t="s">
        <v>53</v>
      </c>
      <c r="C41" s="18">
        <v>172639</v>
      </c>
      <c r="D41" s="18">
        <v>78427</v>
      </c>
      <c r="E41" s="18">
        <v>0</v>
      </c>
      <c r="F41" s="18">
        <v>197953</v>
      </c>
    </row>
    <row r="42" spans="1:6" ht="13.5" customHeight="1">
      <c r="A42" s="218"/>
      <c r="B42" s="27" t="s">
        <v>54</v>
      </c>
      <c r="C42" s="18">
        <v>6671</v>
      </c>
      <c r="D42" s="18">
        <v>109912</v>
      </c>
      <c r="E42" s="18">
        <v>0</v>
      </c>
      <c r="F42" s="18">
        <v>1920372</v>
      </c>
    </row>
    <row r="43" spans="1:6" ht="13.5" customHeight="1">
      <c r="A43" s="218"/>
      <c r="B43" s="27" t="s">
        <v>55</v>
      </c>
      <c r="C43" s="18">
        <v>0</v>
      </c>
      <c r="D43" s="18">
        <v>27992</v>
      </c>
      <c r="E43" s="18">
        <v>0</v>
      </c>
      <c r="F43" s="18">
        <v>0</v>
      </c>
    </row>
    <row r="44" spans="1:6" ht="13.5" customHeight="1">
      <c r="A44" s="218"/>
      <c r="B44" s="27" t="s">
        <v>56</v>
      </c>
      <c r="C44" s="18">
        <v>0</v>
      </c>
      <c r="D44" s="18">
        <v>0</v>
      </c>
      <c r="E44" s="18">
        <v>0</v>
      </c>
      <c r="F44" s="18">
        <v>1505069</v>
      </c>
    </row>
    <row r="45" spans="1:6" ht="13.5" customHeight="1">
      <c r="A45" s="218"/>
      <c r="B45" s="27" t="s">
        <v>73</v>
      </c>
      <c r="C45" s="18">
        <v>173059</v>
      </c>
      <c r="D45" s="18">
        <v>1446302</v>
      </c>
      <c r="E45" s="18">
        <v>0</v>
      </c>
      <c r="F45" s="18">
        <v>592671</v>
      </c>
    </row>
    <row r="46" spans="1:6" ht="13.5" customHeight="1">
      <c r="A46" s="218"/>
      <c r="B46" s="27" t="s">
        <v>58</v>
      </c>
      <c r="C46" s="18">
        <v>0</v>
      </c>
      <c r="D46" s="18">
        <v>0</v>
      </c>
      <c r="E46" s="18">
        <v>0</v>
      </c>
      <c r="F46" s="18">
        <v>0</v>
      </c>
    </row>
    <row r="47" spans="1:6" ht="13.5" customHeight="1">
      <c r="A47" s="218"/>
      <c r="B47" s="27" t="s">
        <v>74</v>
      </c>
      <c r="C47" s="18">
        <v>0</v>
      </c>
      <c r="D47" s="18">
        <v>78474</v>
      </c>
      <c r="E47" s="18">
        <v>0</v>
      </c>
      <c r="F47" s="18">
        <v>0</v>
      </c>
    </row>
    <row r="48" spans="1:6" ht="13.5" customHeight="1">
      <c r="A48" s="218"/>
      <c r="B48" s="27" t="s">
        <v>75</v>
      </c>
      <c r="C48" s="18">
        <v>6974</v>
      </c>
      <c r="D48" s="18">
        <v>917</v>
      </c>
      <c r="E48" s="18">
        <v>0</v>
      </c>
      <c r="F48" s="18">
        <v>52716</v>
      </c>
    </row>
    <row r="49" spans="1:6" ht="13.5" customHeight="1">
      <c r="A49" s="218"/>
      <c r="B49" s="27" t="s">
        <v>76</v>
      </c>
      <c r="C49" s="18">
        <v>57915</v>
      </c>
      <c r="D49" s="18">
        <v>13227</v>
      </c>
      <c r="E49" s="18">
        <v>0</v>
      </c>
      <c r="F49" s="18">
        <v>-25597</v>
      </c>
    </row>
    <row r="50" spans="1:6" ht="13.5" customHeight="1">
      <c r="A50" s="218"/>
      <c r="B50" s="27" t="s">
        <v>77</v>
      </c>
      <c r="C50" s="18">
        <v>1292</v>
      </c>
      <c r="D50" s="18">
        <v>1941</v>
      </c>
      <c r="E50" s="18">
        <v>0</v>
      </c>
      <c r="F50" s="18">
        <v>1501</v>
      </c>
    </row>
    <row r="51" spans="1:6" ht="13.5" customHeight="1">
      <c r="A51" s="218"/>
      <c r="B51" s="27" t="s">
        <v>78</v>
      </c>
      <c r="C51" s="18">
        <v>0</v>
      </c>
      <c r="D51" s="18">
        <v>273</v>
      </c>
      <c r="E51" s="18">
        <v>0</v>
      </c>
      <c r="F51" s="18">
        <v>257</v>
      </c>
    </row>
    <row r="52" spans="1:6" s="20" customFormat="1" ht="13.5" customHeight="1" thickBot="1">
      <c r="A52" s="214" t="s">
        <v>79</v>
      </c>
      <c r="B52" s="30"/>
      <c r="C52" s="31">
        <f>SUM(C34:C51)</f>
        <v>3823661</v>
      </c>
      <c r="D52" s="31">
        <f>SUM(D34:D51)</f>
        <v>6610867</v>
      </c>
      <c r="E52" s="31">
        <f>SUM(E34:E51)</f>
        <v>16015</v>
      </c>
      <c r="F52" s="31">
        <f>SUM(F34:F51)</f>
        <v>11188615</v>
      </c>
    </row>
    <row r="53" spans="1:6" ht="13.5" customHeight="1">
      <c r="A53" s="217" t="s">
        <v>80</v>
      </c>
      <c r="B53" s="23"/>
      <c r="C53" s="16"/>
      <c r="D53" s="16"/>
      <c r="E53" s="16"/>
      <c r="F53" s="16"/>
    </row>
    <row r="54" spans="1:6" s="20" customFormat="1" ht="13.5" customHeight="1">
      <c r="A54" s="215"/>
      <c r="B54" s="21" t="s">
        <v>81</v>
      </c>
      <c r="C54" s="22">
        <v>228498.83</v>
      </c>
      <c r="D54" s="22">
        <v>224359</v>
      </c>
      <c r="E54" s="22">
        <v>1091553</v>
      </c>
      <c r="F54" s="22">
        <v>979126</v>
      </c>
    </row>
    <row r="55" spans="1:6" s="20" customFormat="1" ht="13.5" customHeight="1">
      <c r="A55" s="219"/>
      <c r="B55" s="33" t="s">
        <v>199</v>
      </c>
      <c r="C55" s="22">
        <v>258734.66</v>
      </c>
      <c r="D55" s="39">
        <v>39613</v>
      </c>
      <c r="E55" s="22">
        <v>-296433</v>
      </c>
      <c r="F55" s="39">
        <v>0</v>
      </c>
    </row>
    <row r="56" spans="1:6" s="20" customFormat="1" ht="13.5" customHeight="1">
      <c r="A56" s="192" t="s">
        <v>200</v>
      </c>
      <c r="B56" s="33"/>
      <c r="C56" s="22">
        <f t="shared" ref="C56:F56" si="0">+C32-C52</f>
        <v>1034383</v>
      </c>
      <c r="D56" s="22">
        <f t="shared" si="0"/>
        <v>919451</v>
      </c>
      <c r="E56" s="22">
        <f t="shared" si="0"/>
        <v>49387.88</v>
      </c>
      <c r="F56" s="22">
        <f t="shared" si="0"/>
        <v>1084904</v>
      </c>
    </row>
    <row r="57" spans="1:6" s="20" customFormat="1" ht="13.5" customHeight="1">
      <c r="A57" s="192" t="s">
        <v>201</v>
      </c>
      <c r="B57" s="33"/>
      <c r="C57" s="22">
        <f>+C32-C52-C54-C55</f>
        <v>547149.51</v>
      </c>
      <c r="D57" s="22">
        <f t="shared" ref="D57:F57" si="1">+D32-D52-D54-D55</f>
        <v>655479</v>
      </c>
      <c r="E57" s="22">
        <f t="shared" si="1"/>
        <v>-745732.12</v>
      </c>
      <c r="F57" s="22">
        <f t="shared" si="1"/>
        <v>105778</v>
      </c>
    </row>
    <row r="58" spans="1:6" s="20" customFormat="1" ht="13.5" customHeight="1">
      <c r="A58" s="192" t="s">
        <v>202</v>
      </c>
      <c r="B58" s="33"/>
      <c r="C58" s="22">
        <f t="shared" ref="C58:F58" si="2">+C12+C13+C14+C32+-C52</f>
        <v>1125508</v>
      </c>
      <c r="D58" s="22">
        <f t="shared" si="2"/>
        <v>919451</v>
      </c>
      <c r="E58" s="22">
        <f t="shared" si="2"/>
        <v>49387.88</v>
      </c>
      <c r="F58" s="22">
        <f t="shared" si="2"/>
        <v>1084904</v>
      </c>
    </row>
    <row r="59" spans="1:6" s="20" customFormat="1" ht="13.5" customHeight="1">
      <c r="A59" s="192" t="s">
        <v>203</v>
      </c>
      <c r="B59" s="33"/>
      <c r="C59" s="22">
        <f>+C12+C13+C14+C32-C52-C54-C55</f>
        <v>638274.51</v>
      </c>
      <c r="D59" s="22">
        <f t="shared" ref="D59:F59" si="3">+D12+D13+D14+D32-D52-D54-D55</f>
        <v>655479</v>
      </c>
      <c r="E59" s="22">
        <f t="shared" si="3"/>
        <v>-745732.12</v>
      </c>
      <c r="F59" s="22">
        <f t="shared" si="3"/>
        <v>105778</v>
      </c>
    </row>
    <row r="60" spans="1:6" ht="13.5" customHeight="1">
      <c r="A60" s="213" t="s">
        <v>219</v>
      </c>
      <c r="B60" s="11"/>
      <c r="C60" s="34"/>
      <c r="D60" s="36"/>
      <c r="E60" s="36"/>
      <c r="F60" s="36"/>
    </row>
    <row r="61" spans="1:6" s="44" customFormat="1" ht="13.5" customHeight="1">
      <c r="A61" s="220"/>
      <c r="B61" s="163" t="s">
        <v>39</v>
      </c>
      <c r="C61" s="16">
        <v>1970007.23</v>
      </c>
      <c r="D61" s="18">
        <v>173079</v>
      </c>
      <c r="E61" s="18">
        <v>186539.80999999901</v>
      </c>
      <c r="F61" s="18">
        <v>2855548</v>
      </c>
    </row>
    <row r="62" spans="1:6" s="44" customFormat="1" ht="13.5" customHeight="1">
      <c r="A62" s="220"/>
      <c r="B62" s="163" t="s">
        <v>212</v>
      </c>
      <c r="C62" s="16">
        <v>-1229830.29</v>
      </c>
      <c r="D62" s="18">
        <v>-2495963</v>
      </c>
      <c r="E62" s="18">
        <v>-1640128</v>
      </c>
      <c r="F62" s="18">
        <v>0</v>
      </c>
    </row>
    <row r="63" spans="1:6" s="44" customFormat="1" ht="13.5" customHeight="1">
      <c r="A63" s="220"/>
      <c r="B63" s="163" t="s">
        <v>40</v>
      </c>
      <c r="C63" s="16">
        <v>0</v>
      </c>
      <c r="D63" s="18">
        <v>0</v>
      </c>
      <c r="E63" s="18">
        <v>0</v>
      </c>
      <c r="F63" s="18">
        <v>0</v>
      </c>
    </row>
    <row r="64" spans="1:6" s="44" customFormat="1" ht="13.5" customHeight="1">
      <c r="A64" s="220"/>
      <c r="B64" s="163" t="s">
        <v>41</v>
      </c>
      <c r="C64" s="16">
        <v>2100549.3000000007</v>
      </c>
      <c r="D64" s="18">
        <v>2423185</v>
      </c>
      <c r="E64" s="18">
        <v>23700856</v>
      </c>
      <c r="F64" s="18">
        <v>2333496</v>
      </c>
    </row>
    <row r="65" spans="1:6" s="20" customFormat="1" ht="13.5" customHeight="1">
      <c r="A65" s="192"/>
      <c r="B65" s="38" t="s">
        <v>43</v>
      </c>
      <c r="C65" s="19">
        <f>SUM(C61:C64)</f>
        <v>2840726.2400000007</v>
      </c>
      <c r="D65" s="52">
        <f>SUM(D61:D64)</f>
        <v>100301</v>
      </c>
      <c r="E65" s="52">
        <f>SUM(E61:E64)</f>
        <v>22247267.809999999</v>
      </c>
      <c r="F65" s="52">
        <f>SUM(F61:F64)</f>
        <v>5189044</v>
      </c>
    </row>
    <row r="66" spans="1:6" s="72" customFormat="1">
      <c r="A66" s="221" t="s">
        <v>82</v>
      </c>
      <c r="B66" s="221"/>
      <c r="C66" s="222">
        <f t="shared" ref="C66" si="4">C61/(C52)</f>
        <v>0.51521492883391073</v>
      </c>
      <c r="D66" s="222">
        <f>D61/(D52)</f>
        <v>2.6180983523038659E-2</v>
      </c>
      <c r="E66" s="222">
        <f>E61/(E52)</f>
        <v>11.647818295348049</v>
      </c>
      <c r="F66" s="232">
        <f>F61/(F52)</f>
        <v>0.2552190776070139</v>
      </c>
    </row>
    <row r="67" spans="1:6" hidden="1">
      <c r="A67" s="53"/>
      <c r="B67" s="53" t="s">
        <v>83</v>
      </c>
      <c r="C67" s="42">
        <f>+C10+C12+C13+C14+C32-C52-C54-C65-C55</f>
        <v>-1.730000000767177</v>
      </c>
      <c r="D67" s="42">
        <f t="shared" ref="D67:F67" si="5">+D10+D12+D13+D14+D32-D52-D54-D65-D55</f>
        <v>0</v>
      </c>
      <c r="E67" s="42">
        <f t="shared" si="5"/>
        <v>7.0000000298023224E-2</v>
      </c>
      <c r="F67" s="42">
        <f t="shared" si="5"/>
        <v>0</v>
      </c>
    </row>
    <row r="68" spans="1:6" hidden="1">
      <c r="A68" s="47"/>
      <c r="B68" s="47"/>
      <c r="C68" s="43">
        <f>+C10+C59-C65</f>
        <v>-1.7300000009126961</v>
      </c>
      <c r="D68" s="43">
        <f>+D10+D59-D65</f>
        <v>0</v>
      </c>
      <c r="E68" s="43">
        <f>+E10+E59-E65</f>
        <v>7.0000000298023224E-2</v>
      </c>
      <c r="F68" s="43">
        <f>+F10+F59-F65</f>
        <v>0</v>
      </c>
    </row>
    <row r="69" spans="1:6">
      <c r="A69" s="47"/>
      <c r="B69" s="47"/>
      <c r="C69" s="43"/>
      <c r="D69" s="43"/>
      <c r="E69" s="43"/>
      <c r="F69" s="43"/>
    </row>
    <row r="70" spans="1:6" ht="12.75" customHeight="1">
      <c r="A70" s="140" t="s">
        <v>193</v>
      </c>
      <c r="B70" s="98"/>
      <c r="C70" s="98"/>
      <c r="D70" s="98"/>
      <c r="E70" s="98"/>
      <c r="F70" s="43"/>
    </row>
    <row r="71" spans="1:6" ht="12.75" customHeight="1">
      <c r="A71" s="137" t="s">
        <v>194</v>
      </c>
      <c r="B71" s="98"/>
      <c r="C71" s="98"/>
      <c r="D71" s="98"/>
      <c r="E71" s="98"/>
    </row>
    <row r="72" spans="1:6" ht="12.75" customHeight="1">
      <c r="A72" s="138" t="s">
        <v>84</v>
      </c>
      <c r="B72" s="98"/>
      <c r="C72" s="98"/>
      <c r="D72" s="98"/>
      <c r="E72" s="98"/>
    </row>
    <row r="73" spans="1:6">
      <c r="A73" s="139"/>
      <c r="B73" s="48"/>
      <c r="C73" s="48"/>
      <c r="D73" s="48"/>
      <c r="E73" s="48"/>
    </row>
    <row r="74" spans="1:6" ht="12.75" customHeight="1">
      <c r="A74" s="137" t="s">
        <v>195</v>
      </c>
      <c r="B74" s="98"/>
      <c r="C74" s="98"/>
      <c r="D74" s="98"/>
      <c r="E74" s="98"/>
    </row>
    <row r="75" spans="1:6" ht="12.75" customHeight="1">
      <c r="A75" s="137" t="s">
        <v>85</v>
      </c>
      <c r="B75" s="98"/>
      <c r="C75" s="98"/>
      <c r="D75" s="98"/>
      <c r="E75" s="98"/>
    </row>
    <row r="76" spans="1:6" ht="12.75" customHeight="1">
      <c r="A76" s="137" t="s">
        <v>86</v>
      </c>
      <c r="B76" s="6"/>
      <c r="C76" s="106"/>
      <c r="D76" s="106"/>
      <c r="E76" s="106"/>
    </row>
    <row r="77" spans="1:6">
      <c r="A77" s="48"/>
      <c r="B77" s="108"/>
      <c r="C77" s="106"/>
      <c r="D77" s="106"/>
      <c r="E77" s="106"/>
    </row>
    <row r="78" spans="1:6">
      <c r="A78" s="274"/>
      <c r="B78" s="275"/>
      <c r="C78" s="211"/>
      <c r="D78" s="211"/>
      <c r="E78" s="211"/>
      <c r="F78" s="211"/>
    </row>
    <row r="79" spans="1:6" ht="69.75" customHeight="1">
      <c r="A79" s="276"/>
      <c r="B79" s="277"/>
      <c r="C79" s="207" t="str">
        <f>C2</f>
        <v>1-A DAA,     Grand National Rodeo &amp; Show</v>
      </c>
      <c r="D79" s="207" t="str">
        <f>D2</f>
        <v>15th DAA,        Kern County Fair</v>
      </c>
      <c r="E79" s="207" t="str">
        <f>E2</f>
        <v>50th DAA, Antelope Valley Fair*</v>
      </c>
      <c r="F79" s="207" t="str">
        <f>F2</f>
        <v>San Mateo County Fair</v>
      </c>
    </row>
    <row r="80" spans="1:6" ht="13.5" customHeight="1">
      <c r="A80" s="213" t="s">
        <v>87</v>
      </c>
      <c r="B80" s="27"/>
      <c r="C80" s="51"/>
      <c r="D80" s="51"/>
      <c r="E80" s="51"/>
      <c r="F80" s="51"/>
    </row>
    <row r="81" spans="1:6" ht="13.5" customHeight="1">
      <c r="A81" s="213" t="s">
        <v>88</v>
      </c>
      <c r="B81" s="27"/>
      <c r="C81" s="51"/>
      <c r="D81" s="51"/>
      <c r="E81" s="51"/>
      <c r="F81" s="51"/>
    </row>
    <row r="82" spans="1:6" ht="13.5" customHeight="1">
      <c r="A82" s="218"/>
      <c r="B82" s="27" t="s">
        <v>89</v>
      </c>
      <c r="C82" s="18"/>
      <c r="D82" s="18"/>
      <c r="E82" s="18"/>
      <c r="F82" s="18"/>
    </row>
    <row r="83" spans="1:6" ht="13.5" customHeight="1">
      <c r="A83" s="218"/>
      <c r="B83" s="27" t="s">
        <v>90</v>
      </c>
      <c r="C83" s="14">
        <v>0</v>
      </c>
      <c r="D83" s="14">
        <v>0</v>
      </c>
      <c r="E83" s="14">
        <v>0</v>
      </c>
      <c r="F83" s="14">
        <v>3817923</v>
      </c>
    </row>
    <row r="84" spans="1:6" ht="13.5" customHeight="1">
      <c r="A84" s="218"/>
      <c r="B84" s="27" t="s">
        <v>91</v>
      </c>
      <c r="C84" s="18">
        <v>2955618.73</v>
      </c>
      <c r="D84" s="18">
        <v>1794506</v>
      </c>
      <c r="E84" s="18">
        <v>-3111</v>
      </c>
      <c r="F84" s="18">
        <v>3421496</v>
      </c>
    </row>
    <row r="85" spans="1:6" ht="13.5" customHeight="1">
      <c r="A85" s="218"/>
      <c r="B85" s="27" t="s">
        <v>92</v>
      </c>
      <c r="C85" s="18">
        <v>163253.82999999999</v>
      </c>
      <c r="D85" s="18">
        <v>184369</v>
      </c>
      <c r="E85" s="18">
        <v>19</v>
      </c>
      <c r="F85" s="18">
        <v>419622</v>
      </c>
    </row>
    <row r="86" spans="1:6" ht="13.5" customHeight="1">
      <c r="A86" s="218"/>
      <c r="B86" s="27" t="s">
        <v>93</v>
      </c>
      <c r="C86" s="18">
        <v>943.5</v>
      </c>
      <c r="D86" s="18">
        <v>8348</v>
      </c>
      <c r="E86" s="18">
        <v>0</v>
      </c>
      <c r="F86" s="18">
        <v>57561</v>
      </c>
    </row>
    <row r="87" spans="1:6" ht="13.5" customHeight="1">
      <c r="A87" s="218"/>
      <c r="B87" s="27" t="s">
        <v>94</v>
      </c>
      <c r="C87" s="18">
        <v>0</v>
      </c>
      <c r="D87" s="18">
        <v>0</v>
      </c>
      <c r="E87" s="18">
        <v>0</v>
      </c>
      <c r="F87" s="18">
        <v>72395</v>
      </c>
    </row>
    <row r="88" spans="1:6" ht="13.5" customHeight="1">
      <c r="A88" s="218"/>
      <c r="B88" s="92" t="s">
        <v>95</v>
      </c>
      <c r="C88" s="18"/>
      <c r="D88" s="18">
        <v>18240</v>
      </c>
      <c r="E88" s="18">
        <v>0</v>
      </c>
      <c r="F88" s="18">
        <v>1167</v>
      </c>
    </row>
    <row r="89" spans="1:6" ht="13.5" customHeight="1">
      <c r="A89" s="218"/>
      <c r="B89" s="27" t="s">
        <v>96</v>
      </c>
      <c r="C89" s="18">
        <v>145397.37</v>
      </c>
      <c r="D89" s="18">
        <v>0</v>
      </c>
      <c r="E89" s="18">
        <v>6245129</v>
      </c>
      <c r="F89" s="18">
        <v>0</v>
      </c>
    </row>
    <row r="90" spans="1:6" ht="13.5" customHeight="1">
      <c r="A90" s="218"/>
      <c r="B90" s="27" t="s">
        <v>97</v>
      </c>
      <c r="C90" s="18">
        <v>13838181.029999999</v>
      </c>
      <c r="D90" s="18">
        <v>0</v>
      </c>
      <c r="E90" s="18">
        <v>26508212</v>
      </c>
      <c r="F90" s="18">
        <v>0</v>
      </c>
    </row>
    <row r="91" spans="1:6" ht="13.5" customHeight="1">
      <c r="A91" s="218"/>
      <c r="B91" s="27" t="s">
        <v>98</v>
      </c>
      <c r="C91" s="18">
        <v>1713167.08</v>
      </c>
      <c r="D91" s="18">
        <v>838594</v>
      </c>
      <c r="E91" s="18">
        <v>1917418</v>
      </c>
      <c r="F91" s="18">
        <v>3216011</v>
      </c>
    </row>
    <row r="92" spans="1:6" ht="13.5" customHeight="1">
      <c r="A92" s="218"/>
      <c r="B92" s="27" t="s">
        <v>99</v>
      </c>
      <c r="C92" s="18">
        <v>0</v>
      </c>
      <c r="D92" s="18">
        <v>8735856</v>
      </c>
      <c r="E92" s="18">
        <v>4736497</v>
      </c>
      <c r="F92" s="18">
        <v>6722540</v>
      </c>
    </row>
    <row r="93" spans="1:6" ht="13.5" customHeight="1">
      <c r="A93" s="218"/>
      <c r="B93" s="27" t="s">
        <v>180</v>
      </c>
      <c r="C93" s="18">
        <v>0</v>
      </c>
      <c r="D93" s="18">
        <v>0</v>
      </c>
      <c r="E93" s="18">
        <v>196829</v>
      </c>
      <c r="F93" s="18">
        <v>0</v>
      </c>
    </row>
    <row r="94" spans="1:6" ht="13.5" customHeight="1">
      <c r="A94" s="218"/>
      <c r="B94" s="27" t="s">
        <v>100</v>
      </c>
      <c r="C94" s="18">
        <f>-11966938-1629257</f>
        <v>-13596195</v>
      </c>
      <c r="D94" s="18">
        <f>-663477-6389399</f>
        <v>-7052876</v>
      </c>
      <c r="E94" s="18">
        <f>-11305990-1813387-1573941</f>
        <v>-14693318</v>
      </c>
      <c r="F94" s="18">
        <f>-2950544-4555678</f>
        <v>-7506222</v>
      </c>
    </row>
    <row r="95" spans="1:6" ht="13.5" customHeight="1">
      <c r="A95" s="218"/>
      <c r="B95" s="27" t="s">
        <v>101</v>
      </c>
      <c r="C95" s="18">
        <v>0</v>
      </c>
      <c r="D95" s="18"/>
      <c r="E95" s="18">
        <v>0</v>
      </c>
      <c r="F95" s="18"/>
    </row>
    <row r="96" spans="1:6" s="20" customFormat="1" ht="13.5" customHeight="1">
      <c r="A96" s="201" t="s">
        <v>102</v>
      </c>
      <c r="B96" s="21"/>
      <c r="C96" s="22">
        <f>SUM(C82:C95)</f>
        <v>5220366.5399999991</v>
      </c>
      <c r="D96" s="22">
        <f t="shared" ref="D96:F96" si="6">SUM(D82:D95)</f>
        <v>4527037</v>
      </c>
      <c r="E96" s="22">
        <f t="shared" si="6"/>
        <v>24907675</v>
      </c>
      <c r="F96" s="22">
        <f t="shared" si="6"/>
        <v>10222493</v>
      </c>
    </row>
    <row r="97" spans="1:6" s="20" customFormat="1" ht="13.5" customHeight="1">
      <c r="A97" s="201" t="s">
        <v>207</v>
      </c>
      <c r="B97" s="21"/>
      <c r="C97" s="22">
        <v>414254</v>
      </c>
      <c r="D97" s="22">
        <v>963283</v>
      </c>
      <c r="E97" s="22">
        <v>224497</v>
      </c>
      <c r="F97" s="22">
        <v>0</v>
      </c>
    </row>
    <row r="98" spans="1:6" s="41" customFormat="1" ht="13.5" customHeight="1">
      <c r="A98" s="223" t="s">
        <v>204</v>
      </c>
      <c r="B98" s="155"/>
      <c r="C98" s="156">
        <f>+C96+C97</f>
        <v>5634620.5399999991</v>
      </c>
      <c r="D98" s="156">
        <f t="shared" ref="D98:F98" si="7">+D96+D97</f>
        <v>5490320</v>
      </c>
      <c r="E98" s="156">
        <f t="shared" si="7"/>
        <v>25132172</v>
      </c>
      <c r="F98" s="156">
        <f t="shared" si="7"/>
        <v>10222493</v>
      </c>
    </row>
    <row r="99" spans="1:6" ht="13.5" customHeight="1">
      <c r="A99" s="213" t="s">
        <v>205</v>
      </c>
      <c r="B99" s="27"/>
      <c r="C99" s="49"/>
      <c r="D99" s="51"/>
      <c r="E99" s="51"/>
      <c r="F99" s="51"/>
    </row>
    <row r="100" spans="1:6" ht="13.5" customHeight="1">
      <c r="A100" s="218"/>
      <c r="B100" s="27" t="s">
        <v>103</v>
      </c>
      <c r="C100" s="17">
        <v>42</v>
      </c>
      <c r="D100" s="142">
        <v>1237</v>
      </c>
      <c r="E100" s="18">
        <v>0</v>
      </c>
      <c r="F100" s="238">
        <v>3817923</v>
      </c>
    </row>
    <row r="101" spans="1:6" ht="13.5" customHeight="1">
      <c r="A101" s="218"/>
      <c r="B101" s="27" t="s">
        <v>104</v>
      </c>
      <c r="C101" s="17">
        <v>582777</v>
      </c>
      <c r="D101" s="18">
        <v>1207445</v>
      </c>
      <c r="E101" s="18">
        <v>583</v>
      </c>
      <c r="F101" s="238">
        <v>508144</v>
      </c>
    </row>
    <row r="102" spans="1:6" ht="13.5" customHeight="1">
      <c r="A102" s="218"/>
      <c r="B102" s="27" t="s">
        <v>105</v>
      </c>
      <c r="C102" s="17">
        <v>51052</v>
      </c>
      <c r="D102" s="18">
        <v>166811</v>
      </c>
      <c r="E102" s="18">
        <v>0</v>
      </c>
      <c r="F102" s="18">
        <v>55327</v>
      </c>
    </row>
    <row r="103" spans="1:6" ht="13.5" customHeight="1">
      <c r="A103" s="218"/>
      <c r="B103" s="27" t="s">
        <v>106</v>
      </c>
      <c r="C103" s="17">
        <v>387802</v>
      </c>
      <c r="D103" s="18">
        <v>176918</v>
      </c>
      <c r="E103" s="18">
        <v>0</v>
      </c>
      <c r="F103" s="18">
        <v>163651</v>
      </c>
    </row>
    <row r="104" spans="1:6" ht="13.5" customHeight="1">
      <c r="A104" s="218"/>
      <c r="B104" s="27" t="s">
        <v>107</v>
      </c>
      <c r="C104" s="17">
        <v>10900</v>
      </c>
      <c r="D104" s="18">
        <v>4974</v>
      </c>
      <c r="E104" s="18">
        <v>6614</v>
      </c>
      <c r="F104" s="18">
        <v>49170</v>
      </c>
    </row>
    <row r="105" spans="1:6" ht="13.5" customHeight="1">
      <c r="A105" s="218"/>
      <c r="B105" s="27" t="s">
        <v>108</v>
      </c>
      <c r="C105" s="17">
        <v>0</v>
      </c>
      <c r="D105" s="18">
        <v>0</v>
      </c>
      <c r="E105" s="18">
        <v>0</v>
      </c>
      <c r="F105" s="18">
        <v>0</v>
      </c>
    </row>
    <row r="106" spans="1:6" ht="13.5" customHeight="1">
      <c r="A106" s="218"/>
      <c r="B106" s="27" t="s">
        <v>109</v>
      </c>
      <c r="C106" s="17">
        <v>117237</v>
      </c>
      <c r="D106" s="18">
        <v>204016</v>
      </c>
      <c r="E106" s="18">
        <v>0</v>
      </c>
      <c r="F106" s="18">
        <v>300750</v>
      </c>
    </row>
    <row r="107" spans="1:6" ht="13.5" customHeight="1">
      <c r="A107" s="218"/>
      <c r="B107" s="27" t="s">
        <v>110</v>
      </c>
      <c r="C107" s="17">
        <v>0</v>
      </c>
      <c r="D107" s="18">
        <v>148055</v>
      </c>
      <c r="E107" s="18">
        <v>1013081</v>
      </c>
      <c r="F107" s="18">
        <v>100000</v>
      </c>
    </row>
    <row r="108" spans="1:6" ht="13.5" customHeight="1">
      <c r="A108" s="218"/>
      <c r="B108" s="27" t="s">
        <v>210</v>
      </c>
      <c r="C108" s="17">
        <v>1640318</v>
      </c>
      <c r="D108" s="18">
        <v>3451321</v>
      </c>
      <c r="E108" s="18">
        <v>1860353</v>
      </c>
      <c r="F108" s="18">
        <v>0</v>
      </c>
    </row>
    <row r="109" spans="1:6" s="20" customFormat="1" ht="13.5" customHeight="1">
      <c r="A109" s="201" t="s">
        <v>209</v>
      </c>
      <c r="B109" s="21"/>
      <c r="C109" s="22">
        <f>SUM(C100:C108)</f>
        <v>2790128</v>
      </c>
      <c r="D109" s="22">
        <f t="shared" ref="D109:F109" si="8">SUM(D100:D108)</f>
        <v>5360777</v>
      </c>
      <c r="E109" s="22">
        <f t="shared" si="8"/>
        <v>2880631</v>
      </c>
      <c r="F109" s="22">
        <f t="shared" si="8"/>
        <v>4994965</v>
      </c>
    </row>
    <row r="110" spans="1:6" s="20" customFormat="1" ht="13.5" customHeight="1">
      <c r="A110" s="201" t="s">
        <v>208</v>
      </c>
      <c r="B110" s="21"/>
      <c r="C110" s="22">
        <v>3766</v>
      </c>
      <c r="D110" s="22">
        <v>7925</v>
      </c>
      <c r="E110" s="22">
        <v>4272</v>
      </c>
      <c r="F110" s="22">
        <v>0</v>
      </c>
    </row>
    <row r="111" spans="1:6" s="41" customFormat="1" ht="13.5" customHeight="1">
      <c r="A111" s="223" t="s">
        <v>206</v>
      </c>
      <c r="B111" s="155"/>
      <c r="C111" s="156">
        <f>+C109+C110</f>
        <v>2793894</v>
      </c>
      <c r="D111" s="156">
        <f t="shared" ref="D111:F111" si="9">+D109+D110</f>
        <v>5368702</v>
      </c>
      <c r="E111" s="156">
        <f t="shared" si="9"/>
        <v>2884903</v>
      </c>
      <c r="F111" s="156">
        <f t="shared" si="9"/>
        <v>4994965</v>
      </c>
    </row>
    <row r="112" spans="1:6" ht="13.5" customHeight="1">
      <c r="A112" s="213" t="s">
        <v>111</v>
      </c>
      <c r="B112" s="27"/>
      <c r="C112" s="49"/>
      <c r="D112" s="51"/>
      <c r="E112" s="51"/>
      <c r="F112" s="51"/>
    </row>
    <row r="113" spans="1:6" ht="13.5" customHeight="1">
      <c r="A113" s="218"/>
      <c r="B113" s="27" t="s">
        <v>112</v>
      </c>
      <c r="C113" s="17">
        <v>0</v>
      </c>
      <c r="D113" s="18">
        <v>21318</v>
      </c>
      <c r="E113" s="18">
        <v>0</v>
      </c>
      <c r="F113" s="18">
        <v>38484</v>
      </c>
    </row>
    <row r="114" spans="1:6" ht="13.5" customHeight="1">
      <c r="A114" s="218"/>
      <c r="B114" s="27" t="s">
        <v>39</v>
      </c>
      <c r="C114" s="17">
        <f t="shared" ref="C114:D117" si="10">C61</f>
        <v>1970007.23</v>
      </c>
      <c r="D114" s="17">
        <f t="shared" si="10"/>
        <v>173079</v>
      </c>
      <c r="E114" s="17">
        <f t="shared" ref="E114" si="11">E61</f>
        <v>186539.80999999901</v>
      </c>
      <c r="F114" s="17">
        <f>F61</f>
        <v>2855548</v>
      </c>
    </row>
    <row r="115" spans="1:6" ht="13.5" customHeight="1">
      <c r="A115" s="218"/>
      <c r="B115" s="27" t="s">
        <v>212</v>
      </c>
      <c r="C115" s="17">
        <f t="shared" si="10"/>
        <v>-1229830.29</v>
      </c>
      <c r="D115" s="17">
        <f t="shared" si="10"/>
        <v>-2495963</v>
      </c>
      <c r="E115" s="17">
        <f t="shared" ref="E115" si="12">E62</f>
        <v>-1640128</v>
      </c>
      <c r="F115" s="17">
        <f>F62</f>
        <v>0</v>
      </c>
    </row>
    <row r="116" spans="1:6" ht="13.5" customHeight="1">
      <c r="A116" s="218"/>
      <c r="B116" s="27" t="s">
        <v>40</v>
      </c>
      <c r="C116" s="17">
        <f t="shared" si="10"/>
        <v>0</v>
      </c>
      <c r="D116" s="17">
        <f t="shared" si="10"/>
        <v>0</v>
      </c>
      <c r="E116" s="17">
        <f t="shared" ref="E116" si="13">E63</f>
        <v>0</v>
      </c>
      <c r="F116" s="17">
        <f>F63</f>
        <v>0</v>
      </c>
    </row>
    <row r="117" spans="1:6" ht="13.5" customHeight="1">
      <c r="A117" s="218"/>
      <c r="B117" s="27" t="s">
        <v>113</v>
      </c>
      <c r="C117" s="17">
        <f t="shared" si="10"/>
        <v>2100549.3000000007</v>
      </c>
      <c r="D117" s="17">
        <f t="shared" si="10"/>
        <v>2423185</v>
      </c>
      <c r="E117" s="17">
        <f t="shared" ref="E117" si="14">E64</f>
        <v>23700856</v>
      </c>
      <c r="F117" s="17">
        <f>F64</f>
        <v>2333496</v>
      </c>
    </row>
    <row r="118" spans="1:6" ht="13.5" customHeight="1">
      <c r="A118" s="224"/>
      <c r="B118" s="54" t="s">
        <v>101</v>
      </c>
      <c r="C118" s="55">
        <v>0</v>
      </c>
      <c r="D118" s="57">
        <v>0</v>
      </c>
      <c r="E118" s="57">
        <v>0</v>
      </c>
      <c r="F118" s="18">
        <v>0</v>
      </c>
    </row>
    <row r="119" spans="1:6" s="20" customFormat="1" ht="13.5" customHeight="1">
      <c r="A119" s="201" t="s">
        <v>43</v>
      </c>
      <c r="B119" s="58"/>
      <c r="C119" s="59">
        <f t="shared" ref="C119:F119" si="15">SUM(C113:C118)</f>
        <v>2840726.2400000007</v>
      </c>
      <c r="D119" s="59">
        <f t="shared" si="15"/>
        <v>121619</v>
      </c>
      <c r="E119" s="59">
        <f t="shared" si="15"/>
        <v>22247267.809999999</v>
      </c>
      <c r="F119" s="59">
        <f t="shared" si="15"/>
        <v>5227528</v>
      </c>
    </row>
    <row r="120" spans="1:6" s="41" customFormat="1">
      <c r="A120" s="223" t="s">
        <v>211</v>
      </c>
      <c r="B120" s="155"/>
      <c r="C120" s="156">
        <f t="shared" ref="C120:F120" si="16">SUM(C111:C118)</f>
        <v>5634620.2400000012</v>
      </c>
      <c r="D120" s="156">
        <f t="shared" si="16"/>
        <v>5490321</v>
      </c>
      <c r="E120" s="156">
        <f t="shared" si="16"/>
        <v>25132170.809999999</v>
      </c>
      <c r="F120" s="156">
        <f t="shared" si="16"/>
        <v>10222493</v>
      </c>
    </row>
    <row r="121" spans="1:6" hidden="1">
      <c r="A121" s="61"/>
      <c r="B121" s="53" t="s">
        <v>83</v>
      </c>
      <c r="C121" s="94">
        <f>+C120-C98</f>
        <v>-0.29999999795109034</v>
      </c>
      <c r="D121" s="94">
        <f>+D120-D98</f>
        <v>1</v>
      </c>
      <c r="E121" s="94">
        <f>+E120-E98</f>
        <v>-1.1900000013411045</v>
      </c>
      <c r="F121" s="94">
        <f>+F120-F98</f>
        <v>0</v>
      </c>
    </row>
    <row r="122" spans="1:6">
      <c r="A122" s="61"/>
      <c r="B122" s="78"/>
      <c r="C122" s="79"/>
      <c r="D122" s="80"/>
      <c r="E122" s="80"/>
      <c r="F122" s="151"/>
    </row>
    <row r="123" spans="1:6" ht="39" customHeight="1">
      <c r="A123" s="262" t="s">
        <v>114</v>
      </c>
      <c r="B123" s="263"/>
      <c r="C123" s="256">
        <f>C56/(C32)</f>
        <v>0.21292170264410945</v>
      </c>
      <c r="D123" s="256">
        <f>D56/(D32)</f>
        <v>0.12209989007104348</v>
      </c>
      <c r="E123" s="256">
        <f>E56/(E32)</f>
        <v>0.75513310728824168</v>
      </c>
      <c r="F123" s="256">
        <f>F56/(F32)</f>
        <v>8.8393882797590487E-2</v>
      </c>
    </row>
    <row r="124" spans="1:6" ht="24">
      <c r="A124" s="192"/>
      <c r="B124" s="193" t="s">
        <v>115</v>
      </c>
      <c r="C124" s="256"/>
      <c r="D124" s="256"/>
      <c r="E124" s="256"/>
      <c r="F124" s="256"/>
    </row>
    <row r="125" spans="1:6" ht="14.25">
      <c r="A125" s="194" t="s">
        <v>188</v>
      </c>
      <c r="B125" s="195"/>
      <c r="C125" s="253">
        <f>(SUM(C84:C85))/SUM(C100:C105)</f>
        <v>3.0204862610198022</v>
      </c>
      <c r="D125" s="253">
        <f>(SUM(D84:D85))/SUM(D100:D105)</f>
        <v>1.2706395656822174</v>
      </c>
      <c r="E125" s="253">
        <f>(SUM(E84:E85))/SUM(E100:E105)</f>
        <v>-0.42962345421703485</v>
      </c>
      <c r="F125" s="253">
        <f>(SUM(F84:F85))/SUM(F100:F105)</f>
        <v>0.83607711001770701</v>
      </c>
    </row>
    <row r="126" spans="1:6" ht="36">
      <c r="A126" s="196"/>
      <c r="B126" s="197" t="s">
        <v>189</v>
      </c>
      <c r="C126" s="254"/>
      <c r="D126" s="254"/>
      <c r="E126" s="254"/>
      <c r="F126" s="254"/>
    </row>
    <row r="127" spans="1:6" ht="14.25">
      <c r="A127" s="194" t="s">
        <v>190</v>
      </c>
      <c r="B127" s="195"/>
      <c r="C127" s="253">
        <f>(SUM(C84:C85))/SUM(C100:C106)</f>
        <v>2.7125112496847308</v>
      </c>
      <c r="D127" s="253">
        <f>(SUM(D84:D85))/SUM(D100:D106)</f>
        <v>1.1234664905947027</v>
      </c>
      <c r="E127" s="253">
        <f>(SUM(E84:E85))/SUM(E100:E106)</f>
        <v>-0.42962345421703485</v>
      </c>
      <c r="F127" s="253">
        <f>(SUM(F84:F85))/SUM(F100:F106)</f>
        <v>0.7847079601182031</v>
      </c>
    </row>
    <row r="128" spans="1:6" ht="24">
      <c r="A128" s="196"/>
      <c r="B128" s="197" t="s">
        <v>191</v>
      </c>
      <c r="C128" s="254"/>
      <c r="D128" s="254"/>
      <c r="E128" s="254"/>
      <c r="F128" s="254"/>
    </row>
    <row r="129" spans="1:6" s="115" customFormat="1" ht="8.1" customHeight="1">
      <c r="A129" s="116"/>
      <c r="B129" s="117"/>
      <c r="C129" s="118"/>
      <c r="D129" s="118"/>
      <c r="E129" s="118"/>
      <c r="F129" s="119"/>
    </row>
    <row r="130" spans="1:6">
      <c r="A130" s="199" t="s">
        <v>116</v>
      </c>
      <c r="B130" s="58"/>
      <c r="C130" s="255">
        <f>C111/C98</f>
        <v>0.49584421526990713</v>
      </c>
      <c r="D130" s="255">
        <f>D111/D98</f>
        <v>0.97784864998761456</v>
      </c>
      <c r="E130" s="255">
        <f>E111/E98</f>
        <v>0.11478924304672115</v>
      </c>
      <c r="F130" s="255">
        <f>F111/F98</f>
        <v>0.48862493718508782</v>
      </c>
    </row>
    <row r="131" spans="1:6" ht="25.5">
      <c r="A131" s="192"/>
      <c r="B131" s="198" t="s">
        <v>117</v>
      </c>
      <c r="C131" s="255"/>
      <c r="D131" s="255"/>
      <c r="E131" s="255"/>
      <c r="F131" s="255"/>
    </row>
    <row r="132" spans="1:6">
      <c r="A132" s="199" t="s">
        <v>118</v>
      </c>
      <c r="B132" s="200"/>
      <c r="C132" s="255">
        <f>C119/C98</f>
        <v>0.504155731487821</v>
      </c>
      <c r="D132" s="255">
        <f>D119/D98</f>
        <v>2.2151532151131446E-2</v>
      </c>
      <c r="E132" s="255">
        <f>E119/E98</f>
        <v>0.88521070960361081</v>
      </c>
      <c r="F132" s="255">
        <f>F119/F98</f>
        <v>0.51137506281491218</v>
      </c>
    </row>
    <row r="133" spans="1:6" ht="24">
      <c r="A133" s="192"/>
      <c r="B133" s="193" t="s">
        <v>119</v>
      </c>
      <c r="C133" s="255"/>
      <c r="D133" s="255"/>
      <c r="E133" s="255"/>
      <c r="F133" s="255"/>
    </row>
    <row r="134" spans="1:6">
      <c r="A134" s="264" t="s">
        <v>120</v>
      </c>
      <c r="B134" s="265"/>
      <c r="C134" s="255">
        <f>C111/C119</f>
        <v>0.98351399042239263</v>
      </c>
      <c r="D134" s="255">
        <f>D111/D119</f>
        <v>44.143612428979026</v>
      </c>
      <c r="E134" s="255">
        <f>E111/E119</f>
        <v>0.12967448518344601</v>
      </c>
      <c r="F134" s="255">
        <f>F111/F119</f>
        <v>0.95551185952519047</v>
      </c>
    </row>
    <row r="135" spans="1:6">
      <c r="A135" s="192"/>
      <c r="B135" s="193" t="s">
        <v>121</v>
      </c>
      <c r="C135" s="255"/>
      <c r="D135" s="255"/>
      <c r="E135" s="255"/>
      <c r="F135" s="255"/>
    </row>
    <row r="136" spans="1:6" s="115" customFormat="1" ht="8.1" customHeight="1">
      <c r="A136" s="120"/>
      <c r="B136" s="121"/>
      <c r="C136" s="121"/>
      <c r="D136" s="121"/>
      <c r="E136" s="121"/>
      <c r="F136" s="127"/>
    </row>
    <row r="137" spans="1:6">
      <c r="A137" s="201" t="s">
        <v>122</v>
      </c>
      <c r="B137" s="21"/>
      <c r="C137" s="63">
        <v>9</v>
      </c>
      <c r="D137" s="63">
        <v>27</v>
      </c>
      <c r="E137" s="63">
        <v>0</v>
      </c>
      <c r="F137" s="63">
        <v>80</v>
      </c>
    </row>
    <row r="138" spans="1:6" s="115" customFormat="1" ht="8.1" customHeight="1">
      <c r="A138" s="126"/>
      <c r="B138" s="121"/>
      <c r="C138" s="121"/>
      <c r="D138" s="121"/>
      <c r="E138" s="121"/>
      <c r="F138" s="127"/>
    </row>
    <row r="139" spans="1:6">
      <c r="A139" s="203" t="s">
        <v>123</v>
      </c>
      <c r="B139" s="203"/>
      <c r="C139" s="128">
        <v>16938</v>
      </c>
      <c r="D139" s="128">
        <v>194308</v>
      </c>
      <c r="E139" s="206" t="s">
        <v>228</v>
      </c>
      <c r="F139" s="128">
        <v>69690</v>
      </c>
    </row>
    <row r="140" spans="1:6">
      <c r="A140" s="202" t="s">
        <v>124</v>
      </c>
      <c r="B140" s="202"/>
      <c r="C140" s="128">
        <v>0</v>
      </c>
      <c r="D140" s="128">
        <v>129736</v>
      </c>
      <c r="E140" s="206" t="s">
        <v>228</v>
      </c>
      <c r="F140" s="128">
        <v>61052</v>
      </c>
    </row>
    <row r="141" spans="1:6">
      <c r="A141" s="202" t="s">
        <v>125</v>
      </c>
      <c r="B141" s="202"/>
      <c r="C141" s="128">
        <v>16938</v>
      </c>
      <c r="D141" s="128">
        <v>324044</v>
      </c>
      <c r="E141" s="206" t="s">
        <v>228</v>
      </c>
      <c r="F141" s="128">
        <v>130742</v>
      </c>
    </row>
    <row r="142" spans="1:6">
      <c r="A142" s="10" t="s">
        <v>175</v>
      </c>
    </row>
    <row r="144" spans="1:6" s="44" customFormat="1">
      <c r="A144" s="152"/>
      <c r="B144" s="48"/>
      <c r="C144" s="106"/>
      <c r="D144" s="106"/>
      <c r="E144" s="106"/>
    </row>
    <row r="145" spans="1:5" s="44" customFormat="1">
      <c r="A145" s="152"/>
      <c r="B145" s="48"/>
      <c r="C145" s="107"/>
      <c r="D145" s="107"/>
      <c r="E145" s="107"/>
    </row>
  </sheetData>
  <mergeCells count="32">
    <mergeCell ref="A134:B134"/>
    <mergeCell ref="A1:B3"/>
    <mergeCell ref="C2:C3"/>
    <mergeCell ref="D2:D3"/>
    <mergeCell ref="E2:E3"/>
    <mergeCell ref="C127:C128"/>
    <mergeCell ref="C130:C131"/>
    <mergeCell ref="C132:C133"/>
    <mergeCell ref="C134:C135"/>
    <mergeCell ref="D127:D128"/>
    <mergeCell ref="E127:E128"/>
    <mergeCell ref="D134:D135"/>
    <mergeCell ref="E134:E135"/>
    <mergeCell ref="F2:F3"/>
    <mergeCell ref="A123:B123"/>
    <mergeCell ref="A78:B79"/>
    <mergeCell ref="C123:C124"/>
    <mergeCell ref="C125:C126"/>
    <mergeCell ref="D123:D124"/>
    <mergeCell ref="E123:E124"/>
    <mergeCell ref="F123:F124"/>
    <mergeCell ref="D125:D126"/>
    <mergeCell ref="E125:E126"/>
    <mergeCell ref="F125:F126"/>
    <mergeCell ref="F134:F135"/>
    <mergeCell ref="F127:F128"/>
    <mergeCell ref="D130:D131"/>
    <mergeCell ref="E130:E131"/>
    <mergeCell ref="F130:F131"/>
    <mergeCell ref="D132:D133"/>
    <mergeCell ref="E132:E133"/>
    <mergeCell ref="F132:F133"/>
  </mergeCells>
  <conditionalFormatting sqref="C123:D124">
    <cfRule type="cellIs" dxfId="15" priority="11" operator="lessThan">
      <formula>0</formula>
    </cfRule>
  </conditionalFormatting>
  <conditionalFormatting sqref="F123:F124">
    <cfRule type="cellIs" dxfId="14" priority="9" operator="lessThan">
      <formula>0</formula>
    </cfRule>
  </conditionalFormatting>
  <conditionalFormatting sqref="F66">
    <cfRule type="cellIs" dxfId="13" priority="8" operator="lessThan">
      <formula>0</formula>
    </cfRule>
  </conditionalFormatting>
  <conditionalFormatting sqref="C66">
    <cfRule type="cellIs" dxfId="12" priority="7" operator="lessThan">
      <formula>0</formula>
    </cfRule>
  </conditionalFormatting>
  <conditionalFormatting sqref="D66">
    <cfRule type="cellIs" dxfId="11" priority="6" operator="lessThan">
      <formula>0</formula>
    </cfRule>
  </conditionalFormatting>
  <conditionalFormatting sqref="E123:E124">
    <cfRule type="cellIs" dxfId="10" priority="3" operator="lessThan">
      <formula>0</formula>
    </cfRule>
  </conditionalFormatting>
  <conditionalFormatting sqref="E66">
    <cfRule type="cellIs" dxfId="9" priority="1" operator="lessThan">
      <formula>0</formula>
    </cfRule>
  </conditionalFormatting>
  <printOptions horizontalCentered="1"/>
  <pageMargins left="0.5" right="0.5" top="0.75" bottom="0.35" header="0.5" footer="0.15"/>
  <pageSetup scale="67" orientation="portrait" r:id="rId1"/>
  <headerFooter alignWithMargins="0">
    <oddHeader>&amp;C&amp;"Arial,Bold"&amp;12CLASS V FAIRS</oddHeader>
    <oddFooter>&amp;CFairs and Expositions</oddFooter>
  </headerFooter>
  <rowBreaks count="1" manualBreakCount="1">
    <brk id="77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2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sqref="A1:B3"/>
    </sheetView>
  </sheetViews>
  <sheetFormatPr defaultRowHeight="12.75"/>
  <cols>
    <col min="1" max="1" width="4.7109375" style="10" customWidth="1"/>
    <col min="2" max="2" width="56.42578125" style="10" customWidth="1"/>
    <col min="3" max="7" width="12.7109375" style="10" customWidth="1"/>
    <col min="8" max="16384" width="9.140625" style="10"/>
  </cols>
  <sheetData>
    <row r="1" spans="1:7" ht="12" customHeight="1">
      <c r="A1" s="266"/>
      <c r="B1" s="267"/>
      <c r="C1" s="211"/>
      <c r="D1" s="211"/>
      <c r="E1" s="211"/>
      <c r="F1" s="211"/>
      <c r="G1" s="211"/>
    </row>
    <row r="2" spans="1:7" ht="12" customHeight="1">
      <c r="A2" s="268"/>
      <c r="B2" s="269"/>
      <c r="C2" s="272" t="s">
        <v>176</v>
      </c>
      <c r="D2" s="272" t="s">
        <v>177</v>
      </c>
      <c r="E2" s="272" t="s">
        <v>178</v>
      </c>
      <c r="F2" s="272" t="s">
        <v>179</v>
      </c>
      <c r="G2" s="272" t="s">
        <v>221</v>
      </c>
    </row>
    <row r="3" spans="1:7" ht="69" customHeight="1">
      <c r="A3" s="270"/>
      <c r="B3" s="271"/>
      <c r="C3" s="273"/>
      <c r="D3" s="273"/>
      <c r="E3" s="273"/>
      <c r="F3" s="273"/>
      <c r="G3" s="273"/>
    </row>
    <row r="4" spans="1:7" ht="13.5" customHeight="1">
      <c r="A4" s="213" t="s">
        <v>218</v>
      </c>
      <c r="B4" s="11"/>
      <c r="C4" s="50"/>
      <c r="D4" s="50"/>
      <c r="E4" s="50"/>
      <c r="F4" s="14"/>
      <c r="G4" s="14"/>
    </row>
    <row r="5" spans="1:7" ht="13.5" customHeight="1">
      <c r="A5" s="218"/>
      <c r="B5" s="11" t="s">
        <v>39</v>
      </c>
      <c r="C5" s="13">
        <v>2485101</v>
      </c>
      <c r="D5" s="13">
        <v>1291411</v>
      </c>
      <c r="E5" s="13">
        <v>-23384</v>
      </c>
      <c r="F5" s="13">
        <v>5442544</v>
      </c>
      <c r="G5" s="169">
        <v>1580873</v>
      </c>
    </row>
    <row r="6" spans="1:7" ht="13.5" customHeight="1">
      <c r="A6" s="218"/>
      <c r="B6" s="11" t="s">
        <v>217</v>
      </c>
      <c r="C6" s="28">
        <v>-2429310</v>
      </c>
      <c r="D6" s="28">
        <v>0</v>
      </c>
      <c r="E6" s="28">
        <v>-4692009</v>
      </c>
      <c r="F6" s="28">
        <v>-288812</v>
      </c>
      <c r="G6" s="29">
        <v>-1209759</v>
      </c>
    </row>
    <row r="7" spans="1:7" ht="13.5" customHeight="1">
      <c r="A7" s="218"/>
      <c r="B7" s="11" t="s">
        <v>40</v>
      </c>
      <c r="C7" s="28">
        <v>0</v>
      </c>
      <c r="D7" s="28">
        <v>0</v>
      </c>
      <c r="E7" s="28">
        <v>0</v>
      </c>
      <c r="F7" s="28">
        <v>0</v>
      </c>
      <c r="G7" s="29">
        <v>12162</v>
      </c>
    </row>
    <row r="8" spans="1:7" s="37" customFormat="1" ht="13.5" customHeight="1">
      <c r="A8" s="213"/>
      <c r="B8" s="11" t="s">
        <v>41</v>
      </c>
      <c r="C8" s="29">
        <v>9196239</v>
      </c>
      <c r="D8" s="29">
        <v>8533909</v>
      </c>
      <c r="E8" s="29">
        <v>5296709</v>
      </c>
      <c r="F8" s="29">
        <v>5679787</v>
      </c>
      <c r="G8" s="29">
        <v>9350208</v>
      </c>
    </row>
    <row r="9" spans="1:7" s="37" customFormat="1" ht="13.5" customHeight="1">
      <c r="A9" s="213"/>
      <c r="B9" s="11" t="s">
        <v>42</v>
      </c>
      <c r="C9" s="29">
        <v>0</v>
      </c>
      <c r="D9" s="29">
        <v>-3411201</v>
      </c>
      <c r="E9" s="29">
        <v>0</v>
      </c>
      <c r="F9" s="29">
        <v>-189535</v>
      </c>
      <c r="G9" s="29">
        <v>0</v>
      </c>
    </row>
    <row r="10" spans="1:7" s="40" customFormat="1" ht="13.5" customHeight="1" thickBot="1">
      <c r="A10" s="214"/>
      <c r="B10" s="84" t="s">
        <v>43</v>
      </c>
      <c r="C10" s="60">
        <f>SUM(C5:C9)</f>
        <v>9252030</v>
      </c>
      <c r="D10" s="60">
        <f>SUM(D5:D9)</f>
        <v>6414119</v>
      </c>
      <c r="E10" s="60">
        <f>SUM(E5:E9)</f>
        <v>581316</v>
      </c>
      <c r="F10" s="60">
        <f>SUM(F5:F9)</f>
        <v>10643984</v>
      </c>
      <c r="G10" s="60">
        <f>SUM(G5:G9)</f>
        <v>9733484</v>
      </c>
    </row>
    <row r="11" spans="1:7" s="20" customFormat="1" ht="13.5" customHeight="1">
      <c r="A11" s="192" t="s">
        <v>44</v>
      </c>
      <c r="B11" s="33"/>
      <c r="C11" s="39"/>
      <c r="D11" s="39"/>
      <c r="E11" s="39"/>
      <c r="F11" s="39"/>
      <c r="G11" s="39"/>
    </row>
    <row r="12" spans="1:7" s="20" customFormat="1" ht="13.5" customHeight="1">
      <c r="A12" s="215"/>
      <c r="B12" s="21" t="s">
        <v>45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s="20" customFormat="1" ht="13.5" customHeight="1">
      <c r="A13" s="215"/>
      <c r="B13" s="21" t="s">
        <v>46</v>
      </c>
      <c r="C13" s="22">
        <v>0</v>
      </c>
      <c r="D13" s="22">
        <v>374660</v>
      </c>
      <c r="E13" s="22">
        <v>288309</v>
      </c>
      <c r="F13" s="22">
        <v>10510</v>
      </c>
      <c r="G13" s="22">
        <v>549026</v>
      </c>
    </row>
    <row r="14" spans="1:7" s="20" customFormat="1" ht="13.5" customHeight="1" thickBot="1">
      <c r="A14" s="216"/>
      <c r="B14" s="30" t="s">
        <v>47</v>
      </c>
      <c r="C14" s="31">
        <v>3982256</v>
      </c>
      <c r="D14" s="31">
        <v>0</v>
      </c>
      <c r="E14" s="31">
        <v>0</v>
      </c>
      <c r="F14" s="31">
        <v>0</v>
      </c>
      <c r="G14" s="31">
        <v>0</v>
      </c>
    </row>
    <row r="15" spans="1:7" ht="13.5" customHeight="1">
      <c r="A15" s="217" t="s">
        <v>48</v>
      </c>
      <c r="B15" s="23"/>
      <c r="C15" s="25"/>
      <c r="D15" s="25"/>
      <c r="E15" s="25"/>
      <c r="F15" s="25"/>
      <c r="G15" s="25"/>
    </row>
    <row r="16" spans="1:7" ht="13.5" customHeight="1">
      <c r="A16" s="218"/>
      <c r="B16" s="27" t="s">
        <v>49</v>
      </c>
      <c r="C16" s="28">
        <v>2163510</v>
      </c>
      <c r="D16" s="28">
        <v>2357733</v>
      </c>
      <c r="E16" s="28">
        <v>1941046.75</v>
      </c>
      <c r="F16" s="28">
        <v>73807</v>
      </c>
      <c r="G16" s="28">
        <v>1957740</v>
      </c>
    </row>
    <row r="17" spans="1:7" ht="13.5" customHeight="1">
      <c r="A17" s="218"/>
      <c r="B17" s="27" t="s">
        <v>50</v>
      </c>
      <c r="C17" s="28">
        <v>404535</v>
      </c>
      <c r="D17" s="28">
        <v>423667</v>
      </c>
      <c r="E17" s="28">
        <v>0</v>
      </c>
      <c r="F17" s="28">
        <v>20154</v>
      </c>
      <c r="G17" s="28">
        <v>398177</v>
      </c>
    </row>
    <row r="18" spans="1:7" ht="13.5" customHeight="1">
      <c r="A18" s="218"/>
      <c r="B18" s="27" t="s">
        <v>51</v>
      </c>
      <c r="C18" s="28">
        <v>554763</v>
      </c>
      <c r="D18" s="28">
        <v>1264895</v>
      </c>
      <c r="E18" s="28">
        <v>1047035.82</v>
      </c>
      <c r="F18" s="28">
        <v>87909</v>
      </c>
      <c r="G18" s="28">
        <v>722179</v>
      </c>
    </row>
    <row r="19" spans="1:7" ht="13.5" customHeight="1">
      <c r="A19" s="218"/>
      <c r="B19" s="27" t="s">
        <v>52</v>
      </c>
      <c r="C19" s="28">
        <v>1513084</v>
      </c>
      <c r="D19" s="28">
        <v>1977306</v>
      </c>
      <c r="E19" s="28">
        <v>1331002.21</v>
      </c>
      <c r="F19" s="28">
        <v>67376</v>
      </c>
      <c r="G19" s="28">
        <v>1114556</v>
      </c>
    </row>
    <row r="20" spans="1:7" ht="13.5" customHeight="1">
      <c r="A20" s="218"/>
      <c r="B20" s="27" t="s">
        <v>53</v>
      </c>
      <c r="C20" s="28">
        <v>173666</v>
      </c>
      <c r="D20" s="28">
        <v>68652</v>
      </c>
      <c r="E20" s="28">
        <v>32581.93</v>
      </c>
      <c r="F20" s="28">
        <v>2937</v>
      </c>
      <c r="G20" s="28">
        <v>88415</v>
      </c>
    </row>
    <row r="21" spans="1:7" ht="13.5" customHeight="1">
      <c r="A21" s="218"/>
      <c r="B21" s="27" t="s">
        <v>54</v>
      </c>
      <c r="C21" s="28">
        <v>204164</v>
      </c>
      <c r="D21" s="28">
        <v>0</v>
      </c>
      <c r="E21" s="28">
        <v>17688</v>
      </c>
      <c r="F21" s="28">
        <v>45260</v>
      </c>
      <c r="G21" s="28">
        <v>0</v>
      </c>
    </row>
    <row r="22" spans="1:7" ht="13.5" customHeight="1">
      <c r="A22" s="218"/>
      <c r="B22" s="27" t="s">
        <v>55</v>
      </c>
      <c r="C22" s="29">
        <v>0</v>
      </c>
      <c r="D22" s="29">
        <v>842412</v>
      </c>
      <c r="E22" s="29">
        <v>0</v>
      </c>
      <c r="F22" s="29">
        <v>0</v>
      </c>
      <c r="G22" s="29">
        <v>1416845</v>
      </c>
    </row>
    <row r="23" spans="1:7" ht="13.5" customHeight="1">
      <c r="A23" s="218"/>
      <c r="B23" s="27" t="s">
        <v>56</v>
      </c>
      <c r="C23" s="28">
        <v>0</v>
      </c>
      <c r="D23" s="28">
        <v>430379</v>
      </c>
      <c r="E23" s="28">
        <v>1224839.79</v>
      </c>
      <c r="F23" s="28">
        <v>1388354</v>
      </c>
      <c r="G23" s="28">
        <v>379410</v>
      </c>
    </row>
    <row r="24" spans="1:7" ht="13.5" customHeight="1">
      <c r="A24" s="218"/>
      <c r="B24" s="27" t="s">
        <v>57</v>
      </c>
      <c r="C24" s="28">
        <v>4897952</v>
      </c>
      <c r="D24" s="28">
        <v>0</v>
      </c>
      <c r="E24" s="28">
        <v>31930</v>
      </c>
      <c r="F24" s="28">
        <v>46495</v>
      </c>
      <c r="G24" s="28">
        <v>186820</v>
      </c>
    </row>
    <row r="25" spans="1:7" ht="13.5" customHeight="1">
      <c r="A25" s="218"/>
      <c r="B25" s="27" t="s">
        <v>58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</row>
    <row r="26" spans="1:7" ht="13.5" customHeight="1">
      <c r="A26" s="218"/>
      <c r="B26" s="27" t="s">
        <v>59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</row>
    <row r="27" spans="1:7" ht="13.5" customHeight="1">
      <c r="A27" s="218"/>
      <c r="B27" s="27" t="s">
        <v>60</v>
      </c>
      <c r="C27" s="28">
        <v>836042</v>
      </c>
      <c r="D27" s="28">
        <v>3359771</v>
      </c>
      <c r="E27" s="28">
        <v>847147.73</v>
      </c>
      <c r="F27" s="28">
        <v>62413</v>
      </c>
      <c r="G27" s="28">
        <v>540997</v>
      </c>
    </row>
    <row r="28" spans="1:7" ht="13.5" customHeight="1">
      <c r="A28" s="218"/>
      <c r="B28" s="27" t="s">
        <v>145</v>
      </c>
      <c r="C28" s="28">
        <v>0</v>
      </c>
      <c r="D28" s="28">
        <v>0</v>
      </c>
      <c r="E28" s="28">
        <v>88509</v>
      </c>
      <c r="F28" s="28">
        <v>0</v>
      </c>
      <c r="G28" s="28">
        <v>152287</v>
      </c>
    </row>
    <row r="29" spans="1:7" ht="13.5" customHeight="1">
      <c r="A29" s="218"/>
      <c r="B29" s="27" t="s">
        <v>62</v>
      </c>
      <c r="C29" s="28">
        <v>864441</v>
      </c>
      <c r="D29" s="28">
        <v>1573583</v>
      </c>
      <c r="E29" s="28">
        <v>1102551.46</v>
      </c>
      <c r="F29" s="28">
        <v>7548428</v>
      </c>
      <c r="G29" s="28">
        <v>3519191</v>
      </c>
    </row>
    <row r="30" spans="1:7" ht="13.5" customHeight="1">
      <c r="A30" s="218"/>
      <c r="B30" s="27" t="s">
        <v>63</v>
      </c>
      <c r="C30" s="18">
        <v>1201</v>
      </c>
      <c r="D30" s="18">
        <v>38617</v>
      </c>
      <c r="E30" s="18">
        <v>17117.84</v>
      </c>
      <c r="F30" s="28">
        <v>0</v>
      </c>
      <c r="G30" s="28">
        <v>56422</v>
      </c>
    </row>
    <row r="31" spans="1:7" ht="13.5" customHeight="1">
      <c r="A31" s="218"/>
      <c r="B31" s="27" t="s">
        <v>64</v>
      </c>
      <c r="C31" s="29">
        <v>40241</v>
      </c>
      <c r="D31" s="29">
        <v>10431</v>
      </c>
      <c r="E31" s="29">
        <v>131537.72</v>
      </c>
      <c r="F31" s="29">
        <v>0</v>
      </c>
      <c r="G31" s="29">
        <v>0</v>
      </c>
    </row>
    <row r="32" spans="1:7" s="20" customFormat="1" ht="13.5" customHeight="1" thickBot="1">
      <c r="A32" s="214" t="s">
        <v>65</v>
      </c>
      <c r="B32" s="30"/>
      <c r="C32" s="31">
        <f>SUM(C16:C31)</f>
        <v>11653599</v>
      </c>
      <c r="D32" s="31">
        <f>SUM(D16:D31)</f>
        <v>12347446</v>
      </c>
      <c r="E32" s="31">
        <f>SUM(E16:E31)</f>
        <v>7812988.2499999981</v>
      </c>
      <c r="F32" s="31">
        <f>SUM(F16:F31)</f>
        <v>9343133</v>
      </c>
      <c r="G32" s="31">
        <f>SUM(G16:G31)</f>
        <v>10533039</v>
      </c>
    </row>
    <row r="33" spans="1:7" ht="13.5" customHeight="1">
      <c r="A33" s="217" t="s">
        <v>66</v>
      </c>
      <c r="B33" s="23"/>
      <c r="C33" s="25"/>
      <c r="D33" s="25"/>
      <c r="E33" s="25"/>
      <c r="F33" s="25"/>
      <c r="G33" s="25"/>
    </row>
    <row r="34" spans="1:7" ht="13.5" customHeight="1">
      <c r="A34" s="218"/>
      <c r="B34" s="27" t="s">
        <v>67</v>
      </c>
      <c r="C34" s="28">
        <v>1024814</v>
      </c>
      <c r="D34" s="28">
        <v>1709060</v>
      </c>
      <c r="E34" s="28">
        <v>1337092.45</v>
      </c>
      <c r="F34" s="28">
        <v>1435638</v>
      </c>
      <c r="G34" s="28">
        <v>1656171</v>
      </c>
    </row>
    <row r="35" spans="1:7" ht="13.5" customHeight="1">
      <c r="A35" s="218"/>
      <c r="B35" s="27" t="s">
        <v>68</v>
      </c>
      <c r="C35" s="28">
        <v>1849061</v>
      </c>
      <c r="D35" s="28">
        <v>2471380</v>
      </c>
      <c r="E35" s="28">
        <v>1726768.24</v>
      </c>
      <c r="F35" s="28">
        <v>1236357</v>
      </c>
      <c r="G35" s="28">
        <v>2397276</v>
      </c>
    </row>
    <row r="36" spans="1:7" ht="13.5" customHeight="1">
      <c r="A36" s="218"/>
      <c r="B36" s="27" t="s">
        <v>69</v>
      </c>
      <c r="C36" s="28">
        <v>424715</v>
      </c>
      <c r="D36" s="28">
        <v>656857</v>
      </c>
      <c r="E36" s="28">
        <v>363731.57</v>
      </c>
      <c r="F36" s="28">
        <v>84709</v>
      </c>
      <c r="G36" s="28">
        <v>321628</v>
      </c>
    </row>
    <row r="37" spans="1:7" ht="13.5" customHeight="1">
      <c r="A37" s="218"/>
      <c r="B37" s="27" t="s">
        <v>70</v>
      </c>
      <c r="C37" s="28">
        <v>809764</v>
      </c>
      <c r="D37" s="28">
        <v>1888171</v>
      </c>
      <c r="E37" s="28">
        <v>916867.21</v>
      </c>
      <c r="F37" s="28">
        <v>13051</v>
      </c>
      <c r="G37" s="28">
        <v>507517</v>
      </c>
    </row>
    <row r="38" spans="1:7" ht="13.5" customHeight="1">
      <c r="A38" s="218"/>
      <c r="B38" s="27" t="s">
        <v>60</v>
      </c>
      <c r="C38" s="28">
        <v>463848</v>
      </c>
      <c r="D38" s="28">
        <v>533378</v>
      </c>
      <c r="E38" s="28">
        <v>820293.63</v>
      </c>
      <c r="F38" s="28">
        <v>104981</v>
      </c>
      <c r="G38" s="28">
        <v>47607</v>
      </c>
    </row>
    <row r="39" spans="1:7" ht="13.5" customHeight="1">
      <c r="A39" s="218"/>
      <c r="B39" s="27" t="s">
        <v>71</v>
      </c>
      <c r="C39" s="28">
        <v>0</v>
      </c>
      <c r="D39" s="28">
        <v>0</v>
      </c>
      <c r="E39" s="28">
        <v>50402.43</v>
      </c>
      <c r="F39" s="28">
        <v>0</v>
      </c>
      <c r="G39" s="28">
        <v>0</v>
      </c>
    </row>
    <row r="40" spans="1:7" ht="13.5" customHeight="1">
      <c r="A40" s="218"/>
      <c r="B40" s="27" t="s">
        <v>72</v>
      </c>
      <c r="C40" s="28">
        <v>64231</v>
      </c>
      <c r="D40" s="28">
        <v>178433</v>
      </c>
      <c r="E40" s="28">
        <v>146459.47</v>
      </c>
      <c r="F40" s="28">
        <v>0</v>
      </c>
      <c r="G40" s="28">
        <v>295034</v>
      </c>
    </row>
    <row r="41" spans="1:7" ht="13.5" customHeight="1">
      <c r="A41" s="218"/>
      <c r="B41" s="27" t="s">
        <v>53</v>
      </c>
      <c r="C41" s="28">
        <v>201682</v>
      </c>
      <c r="D41" s="28">
        <v>670656</v>
      </c>
      <c r="E41" s="28">
        <v>326316.90000000002</v>
      </c>
      <c r="F41" s="28">
        <v>36518</v>
      </c>
      <c r="G41" s="28">
        <v>525670</v>
      </c>
    </row>
    <row r="42" spans="1:7" ht="13.5" customHeight="1">
      <c r="A42" s="218"/>
      <c r="B42" s="27" t="s">
        <v>54</v>
      </c>
      <c r="C42" s="28">
        <v>234846</v>
      </c>
      <c r="D42" s="28">
        <v>0</v>
      </c>
      <c r="E42" s="28">
        <v>29355.41</v>
      </c>
      <c r="F42" s="28">
        <v>0</v>
      </c>
      <c r="G42" s="28">
        <v>0</v>
      </c>
    </row>
    <row r="43" spans="1:7" ht="13.5" customHeight="1">
      <c r="A43" s="218"/>
      <c r="B43" s="27" t="s">
        <v>55</v>
      </c>
      <c r="C43" s="28">
        <v>0</v>
      </c>
      <c r="D43" s="28">
        <v>1198184</v>
      </c>
      <c r="E43" s="28">
        <v>0</v>
      </c>
      <c r="F43" s="28">
        <v>0</v>
      </c>
      <c r="G43" s="28">
        <v>1109960</v>
      </c>
    </row>
    <row r="44" spans="1:7" ht="13.5" customHeight="1">
      <c r="A44" s="218"/>
      <c r="B44" s="27" t="s">
        <v>56</v>
      </c>
      <c r="C44" s="28">
        <v>0</v>
      </c>
      <c r="D44" s="28">
        <v>399137</v>
      </c>
      <c r="E44" s="28">
        <v>683808.17</v>
      </c>
      <c r="F44" s="28">
        <v>1626882</v>
      </c>
      <c r="G44" s="28">
        <v>352552</v>
      </c>
    </row>
    <row r="45" spans="1:7" ht="13.5" customHeight="1">
      <c r="A45" s="218"/>
      <c r="B45" s="27" t="s">
        <v>73</v>
      </c>
      <c r="C45" s="28">
        <v>6531753</v>
      </c>
      <c r="D45" s="28">
        <v>2235310</v>
      </c>
      <c r="E45" s="28">
        <v>1398999.11</v>
      </c>
      <c r="F45" s="28">
        <v>362521</v>
      </c>
      <c r="G45" s="28">
        <v>956423</v>
      </c>
    </row>
    <row r="46" spans="1:7" ht="13.5" customHeight="1">
      <c r="A46" s="218"/>
      <c r="B46" s="27" t="s">
        <v>58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</row>
    <row r="47" spans="1:7" ht="13.5" customHeight="1">
      <c r="A47" s="218"/>
      <c r="B47" s="27" t="s">
        <v>74</v>
      </c>
      <c r="C47" s="28">
        <v>0</v>
      </c>
      <c r="D47" s="28">
        <v>509800</v>
      </c>
      <c r="E47" s="28">
        <v>0</v>
      </c>
      <c r="F47" s="28">
        <v>3835428</v>
      </c>
      <c r="G47" s="28">
        <v>1846442</v>
      </c>
    </row>
    <row r="48" spans="1:7" ht="13.5" customHeight="1">
      <c r="A48" s="218"/>
      <c r="B48" s="27" t="s">
        <v>75</v>
      </c>
      <c r="C48" s="28">
        <v>0</v>
      </c>
      <c r="D48" s="28">
        <v>20058</v>
      </c>
      <c r="E48" s="28">
        <v>13835.99</v>
      </c>
      <c r="F48" s="28">
        <v>0</v>
      </c>
      <c r="G48" s="28">
        <v>0</v>
      </c>
    </row>
    <row r="49" spans="1:7" ht="13.5" customHeight="1">
      <c r="A49" s="218"/>
      <c r="B49" s="27" t="s">
        <v>76</v>
      </c>
      <c r="C49" s="28">
        <v>84034</v>
      </c>
      <c r="D49" s="28">
        <v>204697</v>
      </c>
      <c r="E49" s="28">
        <v>-44931.47</v>
      </c>
      <c r="F49" s="28">
        <v>0</v>
      </c>
      <c r="G49" s="28">
        <v>268664</v>
      </c>
    </row>
    <row r="50" spans="1:7" ht="13.5" customHeight="1">
      <c r="A50" s="218"/>
      <c r="B50" s="27" t="s">
        <v>77</v>
      </c>
      <c r="C50" s="28">
        <v>23704</v>
      </c>
      <c r="D50" s="28">
        <v>336</v>
      </c>
      <c r="E50" s="28">
        <v>-1771.74</v>
      </c>
      <c r="F50" s="28">
        <v>0</v>
      </c>
      <c r="G50" s="28">
        <v>0</v>
      </c>
    </row>
    <row r="51" spans="1:7" ht="13.5" customHeight="1">
      <c r="A51" s="218"/>
      <c r="B51" s="27" t="s">
        <v>78</v>
      </c>
      <c r="C51" s="28">
        <v>4850</v>
      </c>
      <c r="D51" s="28">
        <v>17152</v>
      </c>
      <c r="E51" s="28">
        <v>0</v>
      </c>
      <c r="F51" s="28">
        <v>0</v>
      </c>
      <c r="G51" s="28">
        <v>12500</v>
      </c>
    </row>
    <row r="52" spans="1:7" s="20" customFormat="1" ht="13.5" customHeight="1" thickBot="1">
      <c r="A52" s="214" t="s">
        <v>79</v>
      </c>
      <c r="B52" s="30"/>
      <c r="C52" s="31">
        <f>SUM(C34:C51)</f>
        <v>11717302</v>
      </c>
      <c r="D52" s="31">
        <f>SUM(D34:D51)</f>
        <v>12692609</v>
      </c>
      <c r="E52" s="31">
        <f>SUM(E34:E51)</f>
        <v>7767227.3700000001</v>
      </c>
      <c r="F52" s="31">
        <f>SUM(F34:F51)</f>
        <v>8736085</v>
      </c>
      <c r="G52" s="31">
        <f>SUM(G34:G51)</f>
        <v>10297444</v>
      </c>
    </row>
    <row r="53" spans="1:7" ht="13.5" customHeight="1">
      <c r="A53" s="225" t="s">
        <v>80</v>
      </c>
      <c r="B53" s="68"/>
      <c r="C53" s="69"/>
      <c r="D53" s="69"/>
      <c r="E53" s="69"/>
      <c r="F53" s="69"/>
      <c r="G53" s="69"/>
    </row>
    <row r="54" spans="1:7" s="20" customFormat="1" ht="13.5" customHeight="1">
      <c r="A54" s="215"/>
      <c r="B54" s="21" t="s">
        <v>81</v>
      </c>
      <c r="C54" s="22">
        <v>970221</v>
      </c>
      <c r="D54" s="22">
        <v>642447</v>
      </c>
      <c r="E54" s="22">
        <v>655606.29</v>
      </c>
      <c r="F54" s="22">
        <v>924925</v>
      </c>
      <c r="G54" s="22">
        <v>700329</v>
      </c>
    </row>
    <row r="55" spans="1:7" s="20" customFormat="1" ht="13.5" customHeight="1">
      <c r="A55" s="219"/>
      <c r="B55" s="33" t="s">
        <v>199</v>
      </c>
      <c r="C55" s="22">
        <v>-477914</v>
      </c>
      <c r="D55" s="22">
        <v>0</v>
      </c>
      <c r="E55" s="39">
        <v>-334615.65999999997</v>
      </c>
      <c r="F55" s="39">
        <v>138834</v>
      </c>
      <c r="G55" s="39">
        <v>-1414</v>
      </c>
    </row>
    <row r="56" spans="1:7" s="20" customFormat="1" ht="13.5" customHeight="1">
      <c r="A56" s="192" t="s">
        <v>200</v>
      </c>
      <c r="B56" s="33"/>
      <c r="C56" s="22">
        <f t="shared" ref="C56:G56" si="0">+C32-C52</f>
        <v>-63703</v>
      </c>
      <c r="D56" s="22">
        <f t="shared" si="0"/>
        <v>-345163</v>
      </c>
      <c r="E56" s="22">
        <f t="shared" si="0"/>
        <v>45760.879999998026</v>
      </c>
      <c r="F56" s="22">
        <f t="shared" si="0"/>
        <v>607048</v>
      </c>
      <c r="G56" s="22">
        <f t="shared" si="0"/>
        <v>235595</v>
      </c>
    </row>
    <row r="57" spans="1:7" s="20" customFormat="1" ht="13.5" customHeight="1">
      <c r="A57" s="192" t="s">
        <v>201</v>
      </c>
      <c r="B57" s="33"/>
      <c r="C57" s="22">
        <f>+C32-C52-C54-C55</f>
        <v>-556010</v>
      </c>
      <c r="D57" s="22">
        <f t="shared" ref="D57:G57" si="1">+D32-D52-D54-D55</f>
        <v>-987610</v>
      </c>
      <c r="E57" s="22">
        <f t="shared" si="1"/>
        <v>-275229.75000000204</v>
      </c>
      <c r="F57" s="22">
        <f t="shared" si="1"/>
        <v>-456711</v>
      </c>
      <c r="G57" s="22">
        <f t="shared" si="1"/>
        <v>-463320</v>
      </c>
    </row>
    <row r="58" spans="1:7" s="20" customFormat="1" ht="13.5" customHeight="1">
      <c r="A58" s="192" t="s">
        <v>202</v>
      </c>
      <c r="B58" s="33"/>
      <c r="C58" s="22">
        <f t="shared" ref="C58:G58" si="2">+C12+C13+C14+C32+-C52</f>
        <v>3918553</v>
      </c>
      <c r="D58" s="22">
        <f t="shared" si="2"/>
        <v>29497</v>
      </c>
      <c r="E58" s="22">
        <f t="shared" si="2"/>
        <v>334069.87999999803</v>
      </c>
      <c r="F58" s="22">
        <f t="shared" si="2"/>
        <v>617558</v>
      </c>
      <c r="G58" s="22">
        <f t="shared" si="2"/>
        <v>784621</v>
      </c>
    </row>
    <row r="59" spans="1:7" s="20" customFormat="1" ht="13.5" customHeight="1">
      <c r="A59" s="192" t="s">
        <v>203</v>
      </c>
      <c r="B59" s="33"/>
      <c r="C59" s="22">
        <f>+C12+C13+C14+C32-C52-C54-C55</f>
        <v>3426246</v>
      </c>
      <c r="D59" s="22">
        <f t="shared" ref="D59:G59" si="3">+D12+D13+D14+D32-D52-D54-D55</f>
        <v>-612950</v>
      </c>
      <c r="E59" s="22">
        <f t="shared" si="3"/>
        <v>13079.249999997963</v>
      </c>
      <c r="F59" s="22">
        <f t="shared" si="3"/>
        <v>-446201</v>
      </c>
      <c r="G59" s="22">
        <f t="shared" si="3"/>
        <v>85706</v>
      </c>
    </row>
    <row r="60" spans="1:7" ht="13.5" customHeight="1">
      <c r="A60" s="213" t="s">
        <v>219</v>
      </c>
      <c r="B60" s="11"/>
      <c r="C60" s="34"/>
      <c r="D60" s="34"/>
      <c r="E60" s="36"/>
      <c r="F60" s="36"/>
      <c r="G60" s="36"/>
    </row>
    <row r="61" spans="1:7" s="44" customFormat="1" ht="13.5" customHeight="1">
      <c r="A61" s="220"/>
      <c r="B61" s="163" t="s">
        <v>39</v>
      </c>
      <c r="C61" s="16">
        <v>1792045</v>
      </c>
      <c r="D61" s="16">
        <v>706684</v>
      </c>
      <c r="E61" s="16">
        <v>-488356.60000000428</v>
      </c>
      <c r="F61" s="16">
        <v>5564815</v>
      </c>
      <c r="G61" s="16">
        <v>1689013</v>
      </c>
    </row>
    <row r="62" spans="1:7" s="44" customFormat="1" ht="13.5" customHeight="1">
      <c r="A62" s="220"/>
      <c r="B62" s="163" t="s">
        <v>212</v>
      </c>
      <c r="C62" s="16">
        <v>-1713963</v>
      </c>
      <c r="D62" s="16">
        <v>-3411201</v>
      </c>
      <c r="E62" s="16">
        <v>-3880627.63</v>
      </c>
      <c r="F62" s="16">
        <v>-494088</v>
      </c>
      <c r="G62" s="16">
        <v>-1208345</v>
      </c>
    </row>
    <row r="63" spans="1:7" s="44" customFormat="1">
      <c r="A63" s="220"/>
      <c r="B63" s="163" t="s">
        <v>40</v>
      </c>
      <c r="C63" s="16">
        <v>0</v>
      </c>
      <c r="D63" s="16">
        <v>0</v>
      </c>
      <c r="E63" s="16">
        <v>0</v>
      </c>
      <c r="F63" s="16">
        <v>0</v>
      </c>
      <c r="G63" s="16">
        <v>5208</v>
      </c>
    </row>
    <row r="64" spans="1:7" s="164" customFormat="1" ht="13.5" customHeight="1">
      <c r="A64" s="220"/>
      <c r="B64" s="163" t="s">
        <v>41</v>
      </c>
      <c r="C64" s="16">
        <v>12600197</v>
      </c>
      <c r="D64" s="16">
        <v>8505682</v>
      </c>
      <c r="E64" s="16">
        <v>4963381.2300000042</v>
      </c>
      <c r="F64" s="16">
        <v>5127056</v>
      </c>
      <c r="G64" s="16">
        <v>9333127</v>
      </c>
    </row>
    <row r="65" spans="1:8" s="40" customFormat="1" ht="13.5" customHeight="1">
      <c r="A65" s="192"/>
      <c r="B65" s="38" t="s">
        <v>43</v>
      </c>
      <c r="C65" s="19">
        <f>SUM(C61:C64)</f>
        <v>12678279</v>
      </c>
      <c r="D65" s="19">
        <f>SUM(D61:D64)</f>
        <v>5801165</v>
      </c>
      <c r="E65" s="93">
        <f>SUM(E61:E64)</f>
        <v>594397</v>
      </c>
      <c r="F65" s="93">
        <f>SUM(F61:F64)</f>
        <v>10197783</v>
      </c>
      <c r="G65" s="93">
        <f>SUM(G61:G64)</f>
        <v>9819003</v>
      </c>
    </row>
    <row r="66" spans="1:8" s="158" customFormat="1" ht="13.5" customHeight="1">
      <c r="A66" s="221" t="s">
        <v>82</v>
      </c>
      <c r="B66" s="221"/>
      <c r="C66" s="222">
        <f t="shared" ref="C66" si="4">C61/(C52)</f>
        <v>0.15294007101634829</v>
      </c>
      <c r="D66" s="222">
        <f>D61/(D52)</f>
        <v>5.5676811599569484E-2</v>
      </c>
      <c r="E66" s="231">
        <f>E61/(E52)</f>
        <v>-6.2873993091308755E-2</v>
      </c>
      <c r="F66" s="231">
        <f>F61/(F52)</f>
        <v>0.63699185619187537</v>
      </c>
      <c r="G66" s="231">
        <f>G61/(G52)</f>
        <v>0.16402254773126224</v>
      </c>
    </row>
    <row r="67" spans="1:8" hidden="1">
      <c r="A67" s="53"/>
      <c r="B67" s="53" t="s">
        <v>83</v>
      </c>
      <c r="C67" s="73">
        <f>+C10+C12+C13+C14+C32-C54-C52-C65-C55</f>
        <v>-3</v>
      </c>
      <c r="D67" s="73">
        <f t="shared" ref="D67:G67" si="5">+D10+D12+D13+D14+D32-D54-D52-D65-D55</f>
        <v>4</v>
      </c>
      <c r="E67" s="73">
        <f t="shared" si="5"/>
        <v>-1.7500000020372681</v>
      </c>
      <c r="F67" s="73">
        <f t="shared" si="5"/>
        <v>0</v>
      </c>
      <c r="G67" s="170">
        <f t="shared" si="5"/>
        <v>187</v>
      </c>
    </row>
    <row r="68" spans="1:8" hidden="1">
      <c r="A68" s="53"/>
      <c r="B68" s="53"/>
      <c r="C68" s="73">
        <f>+C10+C59-C65</f>
        <v>-3</v>
      </c>
      <c r="D68" s="73">
        <f>+D10+D59-D65</f>
        <v>4</v>
      </c>
      <c r="E68" s="73">
        <f>+E10+E59-E65</f>
        <v>-1.7500000020954758</v>
      </c>
      <c r="F68" s="73">
        <f>+F10+F59-F65</f>
        <v>0</v>
      </c>
      <c r="G68" s="62">
        <f>+G10+G59-G65</f>
        <v>187</v>
      </c>
    </row>
    <row r="69" spans="1:8">
      <c r="A69" s="53"/>
      <c r="B69" s="53"/>
      <c r="C69" s="73"/>
      <c r="D69" s="73"/>
      <c r="E69" s="73"/>
      <c r="F69" s="73"/>
      <c r="G69" s="62"/>
    </row>
    <row r="70" spans="1:8" ht="12.75" customHeight="1">
      <c r="A70" s="140" t="s">
        <v>193</v>
      </c>
      <c r="B70" s="48"/>
      <c r="C70" s="48"/>
      <c r="D70" s="48"/>
      <c r="E70" s="73"/>
      <c r="F70" s="73"/>
      <c r="G70" s="73"/>
    </row>
    <row r="71" spans="1:8" ht="12.75" customHeight="1">
      <c r="A71" s="137" t="s">
        <v>194</v>
      </c>
      <c r="B71" s="48"/>
      <c r="C71" s="48"/>
      <c r="D71" s="48"/>
    </row>
    <row r="72" spans="1:8" ht="12.75" customHeight="1">
      <c r="A72" s="138" t="s">
        <v>84</v>
      </c>
      <c r="B72" s="48"/>
      <c r="C72" s="48"/>
      <c r="D72" s="48"/>
    </row>
    <row r="73" spans="1:8">
      <c r="A73" s="139"/>
      <c r="B73" s="48"/>
      <c r="C73" s="48"/>
      <c r="D73" s="48"/>
    </row>
    <row r="74" spans="1:8" ht="12.75" customHeight="1">
      <c r="A74" s="137" t="s">
        <v>195</v>
      </c>
      <c r="B74" s="48"/>
      <c r="C74" s="48"/>
      <c r="D74" s="48"/>
    </row>
    <row r="75" spans="1:8" ht="12.75" customHeight="1">
      <c r="A75" s="137" t="s">
        <v>85</v>
      </c>
      <c r="B75" s="48"/>
      <c r="C75" s="48"/>
      <c r="D75" s="48"/>
    </row>
    <row r="76" spans="1:8" ht="12.75" customHeight="1">
      <c r="A76" s="137" t="s">
        <v>86</v>
      </c>
      <c r="B76" s="99"/>
      <c r="C76" s="100"/>
      <c r="D76" s="100"/>
    </row>
    <row r="77" spans="1:8">
      <c r="A77" s="101"/>
      <c r="B77" s="101"/>
      <c r="C77" s="101"/>
      <c r="D77" s="101"/>
    </row>
    <row r="78" spans="1:8" ht="12.75" customHeight="1">
      <c r="A78" s="274"/>
      <c r="B78" s="275"/>
      <c r="C78" s="211"/>
      <c r="D78" s="211"/>
      <c r="E78" s="211"/>
      <c r="F78" s="211"/>
      <c r="G78" s="211"/>
    </row>
    <row r="79" spans="1:8" ht="72.75" customHeight="1">
      <c r="A79" s="276"/>
      <c r="B79" s="277"/>
      <c r="C79" s="207" t="str">
        <f>C2</f>
        <v xml:space="preserve">16th DAA, California Mid-State Fair          </v>
      </c>
      <c r="D79" s="207" t="str">
        <f>D2</f>
        <v>21st DAA, 
The Big Fresno Fair</v>
      </c>
      <c r="E79" s="207" t="str">
        <f>E2</f>
        <v>31st DAA, Ventura County Fair</v>
      </c>
      <c r="F79" s="207" t="str">
        <f>F2</f>
        <v>National Orange Show</v>
      </c>
      <c r="G79" s="207" t="str">
        <f>G2</f>
        <v>Sonoma County Fair FY 16/17</v>
      </c>
    </row>
    <row r="80" spans="1:8" ht="13.5" customHeight="1">
      <c r="A80" s="213" t="s">
        <v>87</v>
      </c>
      <c r="B80" s="27"/>
      <c r="C80" s="50"/>
      <c r="D80" s="50"/>
      <c r="E80" s="50"/>
      <c r="F80" s="50"/>
      <c r="G80" s="50"/>
      <c r="H80" s="95"/>
    </row>
    <row r="81" spans="1:7" ht="13.5" customHeight="1">
      <c r="A81" s="213" t="s">
        <v>88</v>
      </c>
      <c r="B81" s="27"/>
      <c r="C81" s="50"/>
      <c r="D81" s="50"/>
      <c r="E81" s="50"/>
      <c r="F81" s="50"/>
      <c r="G81" s="50"/>
    </row>
    <row r="82" spans="1:7" ht="13.5" customHeight="1">
      <c r="A82" s="218"/>
      <c r="B82" s="27" t="s">
        <v>89</v>
      </c>
      <c r="C82" s="28"/>
      <c r="D82" s="28"/>
      <c r="E82" s="28"/>
      <c r="F82" s="28"/>
      <c r="G82" s="28"/>
    </row>
    <row r="83" spans="1:7" ht="13.5" customHeight="1">
      <c r="A83" s="218"/>
      <c r="B83" s="27" t="s">
        <v>90</v>
      </c>
      <c r="C83" s="13">
        <v>89554</v>
      </c>
      <c r="D83" s="13">
        <v>189408</v>
      </c>
      <c r="E83" s="13">
        <v>0</v>
      </c>
      <c r="F83" s="13">
        <v>0</v>
      </c>
      <c r="G83" s="13">
        <v>120916</v>
      </c>
    </row>
    <row r="84" spans="1:7" ht="13.5" customHeight="1">
      <c r="A84" s="218"/>
      <c r="B84" s="27" t="s">
        <v>91</v>
      </c>
      <c r="C84" s="28">
        <v>2149669</v>
      </c>
      <c r="D84" s="28">
        <v>3079094</v>
      </c>
      <c r="E84" s="28">
        <v>911449</v>
      </c>
      <c r="F84" s="28">
        <v>3469437</v>
      </c>
      <c r="G84" s="28">
        <v>2018599</v>
      </c>
    </row>
    <row r="85" spans="1:7" ht="13.5" customHeight="1">
      <c r="A85" s="218"/>
      <c r="B85" s="27" t="s">
        <v>92</v>
      </c>
      <c r="C85" s="28">
        <v>69494</v>
      </c>
      <c r="D85" s="28">
        <f>391345+26167</f>
        <v>417512</v>
      </c>
      <c r="E85" s="28">
        <v>59590</v>
      </c>
      <c r="F85" s="28">
        <v>433990</v>
      </c>
      <c r="G85" s="28">
        <v>459006</v>
      </c>
    </row>
    <row r="86" spans="1:7" ht="13.5" customHeight="1">
      <c r="A86" s="218"/>
      <c r="B86" s="27" t="s">
        <v>93</v>
      </c>
      <c r="C86" s="28">
        <v>43652</v>
      </c>
      <c r="D86" s="28">
        <v>21854</v>
      </c>
      <c r="E86" s="28">
        <v>3769.33</v>
      </c>
      <c r="F86" s="28">
        <v>0</v>
      </c>
      <c r="G86" s="28">
        <v>0</v>
      </c>
    </row>
    <row r="87" spans="1:7" ht="13.5" customHeight="1">
      <c r="A87" s="218"/>
      <c r="B87" s="27" t="s">
        <v>94</v>
      </c>
      <c r="C87" s="28">
        <v>0</v>
      </c>
      <c r="D87" s="28">
        <v>0</v>
      </c>
      <c r="E87" s="28">
        <v>11959.1</v>
      </c>
      <c r="F87" s="28">
        <v>2115667</v>
      </c>
      <c r="G87" s="28">
        <v>94707</v>
      </c>
    </row>
    <row r="88" spans="1:7" ht="13.5" customHeight="1">
      <c r="A88" s="218"/>
      <c r="B88" s="27" t="s">
        <v>95</v>
      </c>
      <c r="C88" s="28">
        <v>367882</v>
      </c>
      <c r="D88" s="28">
        <v>11004</v>
      </c>
      <c r="E88" s="28">
        <v>0</v>
      </c>
      <c r="F88" s="28">
        <v>20000</v>
      </c>
      <c r="G88" s="28">
        <v>44966</v>
      </c>
    </row>
    <row r="89" spans="1:7" ht="13.5" customHeight="1">
      <c r="A89" s="218"/>
      <c r="B89" s="27" t="s">
        <v>96</v>
      </c>
      <c r="C89" s="28">
        <v>723405</v>
      </c>
      <c r="D89" s="28">
        <v>244077</v>
      </c>
      <c r="E89" s="28">
        <v>282915.31</v>
      </c>
      <c r="F89" s="28">
        <v>530755</v>
      </c>
      <c r="G89" s="28">
        <v>1199860</v>
      </c>
    </row>
    <row r="90" spans="1:7" ht="13.5" customHeight="1">
      <c r="A90" s="218"/>
      <c r="B90" s="27" t="s">
        <v>97</v>
      </c>
      <c r="C90" s="28">
        <v>19426628</v>
      </c>
      <c r="D90" s="28">
        <v>26104767</v>
      </c>
      <c r="E90" s="28">
        <v>17328416</v>
      </c>
      <c r="F90" s="28">
        <v>23498997</v>
      </c>
      <c r="G90" s="28">
        <v>31982892</v>
      </c>
    </row>
    <row r="91" spans="1:7" ht="13.5" customHeight="1">
      <c r="A91" s="218"/>
      <c r="B91" s="27" t="s">
        <v>98</v>
      </c>
      <c r="C91" s="28">
        <v>1787702</v>
      </c>
      <c r="D91" s="28">
        <v>703882</v>
      </c>
      <c r="E91" s="28">
        <v>828879</v>
      </c>
      <c r="F91" s="28">
        <v>3675599</v>
      </c>
      <c r="G91" s="28">
        <v>2909881</v>
      </c>
    </row>
    <row r="92" spans="1:7" ht="13.5" customHeight="1">
      <c r="A92" s="218"/>
      <c r="B92" s="27" t="s">
        <v>99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</row>
    <row r="93" spans="1:7" ht="13.5" customHeight="1">
      <c r="A93" s="218"/>
      <c r="B93" s="27" t="s">
        <v>180</v>
      </c>
      <c r="C93" s="28">
        <v>0</v>
      </c>
      <c r="D93" s="28">
        <v>0</v>
      </c>
      <c r="E93" s="28">
        <v>0</v>
      </c>
      <c r="F93" s="28">
        <v>61126</v>
      </c>
      <c r="G93" s="28">
        <v>0</v>
      </c>
    </row>
    <row r="94" spans="1:7" ht="13.5" customHeight="1">
      <c r="A94" s="218"/>
      <c r="B94" s="27" t="s">
        <v>100</v>
      </c>
      <c r="C94" s="28">
        <f>-8009077-1696343</f>
        <v>-9705420</v>
      </c>
      <c r="D94" s="28">
        <f>-16652513-518561</f>
        <v>-17171074</v>
      </c>
      <c r="E94" s="28">
        <f>-11635333-803041</f>
        <v>-12438374</v>
      </c>
      <c r="F94" s="28">
        <f>-18819924-2854168-32154</f>
        <v>-21706246</v>
      </c>
      <c r="G94" s="28">
        <f>-24166500-2593006</f>
        <v>-26759506</v>
      </c>
    </row>
    <row r="95" spans="1:7" ht="13.5" customHeight="1">
      <c r="A95" s="218"/>
      <c r="B95" s="27" t="s">
        <v>101</v>
      </c>
      <c r="C95" s="28">
        <v>0</v>
      </c>
      <c r="D95" s="28">
        <v>-1</v>
      </c>
      <c r="E95" s="28">
        <v>0</v>
      </c>
      <c r="F95" s="28">
        <v>0</v>
      </c>
      <c r="G95" s="28">
        <v>0</v>
      </c>
    </row>
    <row r="96" spans="1:7" s="20" customFormat="1" ht="13.5" customHeight="1">
      <c r="A96" s="201" t="s">
        <v>102</v>
      </c>
      <c r="B96" s="21"/>
      <c r="C96" s="22">
        <f>SUM(C82:C95)</f>
        <v>14952566</v>
      </c>
      <c r="D96" s="22">
        <f t="shared" ref="D96:G96" si="6">SUM(D82:D95)</f>
        <v>13600523</v>
      </c>
      <c r="E96" s="22">
        <f t="shared" si="6"/>
        <v>6988603.7399999984</v>
      </c>
      <c r="F96" s="22">
        <f t="shared" si="6"/>
        <v>12099325</v>
      </c>
      <c r="G96" s="22">
        <f t="shared" si="6"/>
        <v>12071321</v>
      </c>
    </row>
    <row r="97" spans="1:7" s="20" customFormat="1" ht="13.5" customHeight="1">
      <c r="A97" s="201" t="s">
        <v>207</v>
      </c>
      <c r="B97" s="21"/>
      <c r="C97" s="22">
        <v>628753</v>
      </c>
      <c r="D97" s="22">
        <v>1152112</v>
      </c>
      <c r="E97" s="22">
        <v>1349601.47</v>
      </c>
      <c r="F97" s="22">
        <v>0</v>
      </c>
      <c r="G97" s="22">
        <v>961078</v>
      </c>
    </row>
    <row r="98" spans="1:7" s="41" customFormat="1" ht="13.5" customHeight="1">
      <c r="A98" s="223" t="s">
        <v>204</v>
      </c>
      <c r="B98" s="155"/>
      <c r="C98" s="156">
        <f>+C96+C97</f>
        <v>15581319</v>
      </c>
      <c r="D98" s="156">
        <f t="shared" ref="D98:G98" si="7">+D96+D97</f>
        <v>14752635</v>
      </c>
      <c r="E98" s="156">
        <f t="shared" si="7"/>
        <v>8338205.2099999981</v>
      </c>
      <c r="F98" s="156">
        <f t="shared" si="7"/>
        <v>12099325</v>
      </c>
      <c r="G98" s="156">
        <f t="shared" si="7"/>
        <v>13032399</v>
      </c>
    </row>
    <row r="99" spans="1:7" ht="13.5" customHeight="1">
      <c r="A99" s="213" t="s">
        <v>205</v>
      </c>
      <c r="B99" s="27"/>
      <c r="C99" s="49"/>
      <c r="D99" s="49"/>
      <c r="E99" s="50"/>
      <c r="F99" s="50"/>
      <c r="G99" s="50"/>
    </row>
    <row r="100" spans="1:7" ht="13.5" customHeight="1">
      <c r="A100" s="218"/>
      <c r="B100" s="27" t="s">
        <v>103</v>
      </c>
      <c r="C100" s="17">
        <v>5254</v>
      </c>
      <c r="D100" s="17">
        <v>0</v>
      </c>
      <c r="E100" s="28">
        <v>0</v>
      </c>
      <c r="F100" s="50">
        <v>0</v>
      </c>
      <c r="G100" s="50">
        <v>0</v>
      </c>
    </row>
    <row r="101" spans="1:7" ht="13.5" customHeight="1">
      <c r="A101" s="218"/>
      <c r="B101" s="27" t="s">
        <v>104</v>
      </c>
      <c r="C101" s="17">
        <v>222913</v>
      </c>
      <c r="D101" s="17">
        <v>1816090</v>
      </c>
      <c r="E101" s="28">
        <v>381163</v>
      </c>
      <c r="F101" s="28">
        <v>173050</v>
      </c>
      <c r="G101" s="28">
        <v>355036</v>
      </c>
    </row>
    <row r="102" spans="1:7" ht="13.5" customHeight="1">
      <c r="A102" s="218"/>
      <c r="B102" s="27" t="s">
        <v>105</v>
      </c>
      <c r="C102" s="17">
        <v>21777</v>
      </c>
      <c r="D102" s="17">
        <v>200382</v>
      </c>
      <c r="E102" s="28">
        <v>304749</v>
      </c>
      <c r="F102" s="28">
        <v>59824</v>
      </c>
      <c r="G102" s="28">
        <v>0</v>
      </c>
    </row>
    <row r="103" spans="1:7" ht="13.5" customHeight="1">
      <c r="A103" s="218"/>
      <c r="B103" s="27" t="s">
        <v>106</v>
      </c>
      <c r="C103" s="17">
        <v>104852</v>
      </c>
      <c r="D103" s="17">
        <v>358467</v>
      </c>
      <c r="E103" s="28">
        <v>30373.75</v>
      </c>
      <c r="F103" s="28">
        <v>0</v>
      </c>
      <c r="G103" s="28">
        <v>238168</v>
      </c>
    </row>
    <row r="104" spans="1:7" ht="13.5" customHeight="1">
      <c r="A104" s="218"/>
      <c r="B104" s="27" t="s">
        <v>107</v>
      </c>
      <c r="C104" s="17">
        <v>25</v>
      </c>
      <c r="D104" s="17">
        <v>-5560</v>
      </c>
      <c r="E104" s="28">
        <v>6056</v>
      </c>
      <c r="F104" s="28">
        <v>16097</v>
      </c>
      <c r="G104" s="28">
        <v>164337</v>
      </c>
    </row>
    <row r="105" spans="1:7" ht="13.5" customHeight="1">
      <c r="A105" s="218"/>
      <c r="B105" s="27" t="s">
        <v>108</v>
      </c>
      <c r="C105" s="17">
        <v>7772</v>
      </c>
      <c r="D105" s="17">
        <v>30635</v>
      </c>
      <c r="E105" s="28">
        <v>86429</v>
      </c>
      <c r="F105" s="28">
        <v>111873</v>
      </c>
      <c r="G105" s="28">
        <v>0</v>
      </c>
    </row>
    <row r="106" spans="1:7" ht="13.5" customHeight="1">
      <c r="A106" s="218"/>
      <c r="B106" s="27" t="s">
        <v>109</v>
      </c>
      <c r="C106" s="17">
        <v>109247</v>
      </c>
      <c r="D106" s="17">
        <v>420958</v>
      </c>
      <c r="E106" s="28">
        <v>266047</v>
      </c>
      <c r="F106" s="28">
        <v>93435</v>
      </c>
      <c r="G106" s="28">
        <v>224668</v>
      </c>
    </row>
    <row r="107" spans="1:7" ht="13.5" customHeight="1">
      <c r="A107" s="218"/>
      <c r="B107" s="27" t="s">
        <v>110</v>
      </c>
      <c r="C107" s="17">
        <v>0</v>
      </c>
      <c r="D107" s="17">
        <v>1386972</v>
      </c>
      <c r="E107" s="28">
        <v>1038455</v>
      </c>
      <c r="F107" s="28">
        <v>953175</v>
      </c>
      <c r="G107" s="28">
        <v>0</v>
      </c>
    </row>
    <row r="108" spans="1:7" ht="13.5" customHeight="1">
      <c r="A108" s="218"/>
      <c r="B108" s="27" t="s">
        <v>210</v>
      </c>
      <c r="C108" s="17">
        <v>2337349</v>
      </c>
      <c r="D108" s="17">
        <v>4552859</v>
      </c>
      <c r="E108" s="28">
        <v>5218247</v>
      </c>
      <c r="F108" s="28">
        <v>494088</v>
      </c>
      <c r="G108" s="28">
        <v>2029925</v>
      </c>
    </row>
    <row r="109" spans="1:7" s="20" customFormat="1" ht="13.5" customHeight="1">
      <c r="A109" s="201" t="s">
        <v>209</v>
      </c>
      <c r="B109" s="21"/>
      <c r="C109" s="22">
        <f>SUM(C100:C108)</f>
        <v>2809189</v>
      </c>
      <c r="D109" s="22">
        <f t="shared" ref="D109:G109" si="8">SUM(D100:D108)</f>
        <v>8760803</v>
      </c>
      <c r="E109" s="22">
        <f t="shared" si="8"/>
        <v>7331519.75</v>
      </c>
      <c r="F109" s="22">
        <f t="shared" si="8"/>
        <v>1901542</v>
      </c>
      <c r="G109" s="22">
        <f t="shared" si="8"/>
        <v>3012134</v>
      </c>
    </row>
    <row r="110" spans="1:7" s="20" customFormat="1" ht="13.5" customHeight="1">
      <c r="A110" s="201" t="s">
        <v>208</v>
      </c>
      <c r="B110" s="21"/>
      <c r="C110" s="22">
        <v>5367</v>
      </c>
      <c r="D110" s="22">
        <v>10454</v>
      </c>
      <c r="E110" s="22">
        <v>11982.1</v>
      </c>
      <c r="F110" s="22">
        <v>0</v>
      </c>
      <c r="G110" s="22">
        <v>139498</v>
      </c>
    </row>
    <row r="111" spans="1:7" s="41" customFormat="1" ht="13.5" customHeight="1">
      <c r="A111" s="223" t="s">
        <v>206</v>
      </c>
      <c r="B111" s="155"/>
      <c r="C111" s="156">
        <f>+C109+C110</f>
        <v>2814556</v>
      </c>
      <c r="D111" s="156">
        <f t="shared" ref="D111:G111" si="9">+D109+D110</f>
        <v>8771257</v>
      </c>
      <c r="E111" s="156">
        <f t="shared" si="9"/>
        <v>7343501.8499999996</v>
      </c>
      <c r="F111" s="156">
        <f t="shared" si="9"/>
        <v>1901542</v>
      </c>
      <c r="G111" s="156">
        <f t="shared" si="9"/>
        <v>3151632</v>
      </c>
    </row>
    <row r="112" spans="1:7" ht="13.5" customHeight="1">
      <c r="A112" s="213" t="s">
        <v>111</v>
      </c>
      <c r="B112" s="27"/>
      <c r="C112" s="50"/>
      <c r="D112" s="50"/>
      <c r="E112" s="50"/>
      <c r="F112" s="50"/>
      <c r="G112" s="50"/>
    </row>
    <row r="113" spans="1:7" ht="13.5" customHeight="1">
      <c r="A113" s="218"/>
      <c r="B113" s="27" t="s">
        <v>112</v>
      </c>
      <c r="C113" s="28">
        <v>88483</v>
      </c>
      <c r="D113" s="28">
        <v>180212</v>
      </c>
      <c r="E113" s="28">
        <v>400305.68</v>
      </c>
      <c r="F113" s="28">
        <v>0</v>
      </c>
      <c r="G113" s="17">
        <v>61764</v>
      </c>
    </row>
    <row r="114" spans="1:7" ht="13.5" customHeight="1">
      <c r="A114" s="218"/>
      <c r="B114" s="27" t="s">
        <v>39</v>
      </c>
      <c r="C114" s="28">
        <f>C61</f>
        <v>1792045</v>
      </c>
      <c r="D114" s="28">
        <f t="shared" ref="D114:G114" si="10">D61</f>
        <v>706684</v>
      </c>
      <c r="E114" s="28">
        <f t="shared" si="10"/>
        <v>-488356.60000000428</v>
      </c>
      <c r="F114" s="28">
        <f t="shared" si="10"/>
        <v>5564815</v>
      </c>
      <c r="G114" s="28">
        <f t="shared" si="10"/>
        <v>1689013</v>
      </c>
    </row>
    <row r="115" spans="1:7" ht="13.5" customHeight="1">
      <c r="A115" s="218"/>
      <c r="B115" s="27" t="s">
        <v>212</v>
      </c>
      <c r="C115" s="28">
        <f t="shared" ref="C115:G115" si="11">C62</f>
        <v>-1713963</v>
      </c>
      <c r="D115" s="28">
        <f t="shared" si="11"/>
        <v>-3411201</v>
      </c>
      <c r="E115" s="28">
        <f t="shared" si="11"/>
        <v>-3880627.63</v>
      </c>
      <c r="F115" s="28">
        <f t="shared" si="11"/>
        <v>-494088</v>
      </c>
      <c r="G115" s="28">
        <f t="shared" si="11"/>
        <v>-1208345</v>
      </c>
    </row>
    <row r="116" spans="1:7" ht="13.5" customHeight="1">
      <c r="A116" s="218"/>
      <c r="B116" s="27" t="s">
        <v>40</v>
      </c>
      <c r="C116" s="28">
        <f t="shared" ref="C116:G116" si="12">C63</f>
        <v>0</v>
      </c>
      <c r="D116" s="28">
        <f t="shared" si="12"/>
        <v>0</v>
      </c>
      <c r="E116" s="28">
        <f t="shared" si="12"/>
        <v>0</v>
      </c>
      <c r="F116" s="28">
        <f t="shared" si="12"/>
        <v>0</v>
      </c>
      <c r="G116" s="28">
        <f t="shared" si="12"/>
        <v>5208</v>
      </c>
    </row>
    <row r="117" spans="1:7" ht="13.5" customHeight="1">
      <c r="A117" s="218"/>
      <c r="B117" s="27" t="s">
        <v>113</v>
      </c>
      <c r="C117" s="28">
        <f t="shared" ref="C117:G117" si="13">C64</f>
        <v>12600197</v>
      </c>
      <c r="D117" s="28">
        <f t="shared" si="13"/>
        <v>8505682</v>
      </c>
      <c r="E117" s="28">
        <f t="shared" si="13"/>
        <v>4963381.2300000042</v>
      </c>
      <c r="F117" s="28">
        <f t="shared" si="13"/>
        <v>5127056</v>
      </c>
      <c r="G117" s="28">
        <f t="shared" si="13"/>
        <v>9333127</v>
      </c>
    </row>
    <row r="118" spans="1:7" ht="13.5" customHeight="1">
      <c r="A118" s="224"/>
      <c r="B118" s="54" t="s">
        <v>101</v>
      </c>
      <c r="C118" s="56">
        <v>0</v>
      </c>
      <c r="D118" s="56">
        <v>1</v>
      </c>
      <c r="E118" s="56">
        <v>0</v>
      </c>
      <c r="F118" s="56">
        <v>0</v>
      </c>
      <c r="G118" s="56">
        <v>0</v>
      </c>
    </row>
    <row r="119" spans="1:7" s="20" customFormat="1" ht="13.5" customHeight="1">
      <c r="A119" s="201" t="s">
        <v>43</v>
      </c>
      <c r="B119" s="58"/>
      <c r="C119" s="59">
        <f>SUM(C113:C118)</f>
        <v>12766762</v>
      </c>
      <c r="D119" s="59">
        <f>SUM(D113:D118)</f>
        <v>5981378</v>
      </c>
      <c r="E119" s="59">
        <f>SUM(E113:E118)</f>
        <v>994702.68000000017</v>
      </c>
      <c r="F119" s="59">
        <f>SUM(F113:F118)</f>
        <v>10197783</v>
      </c>
      <c r="G119" s="59">
        <f>SUM(G113:G118)</f>
        <v>9880767</v>
      </c>
    </row>
    <row r="120" spans="1:7" s="41" customFormat="1" ht="13.5" customHeight="1">
      <c r="A120" s="223" t="s">
        <v>211</v>
      </c>
      <c r="B120" s="155"/>
      <c r="C120" s="156">
        <f>SUM(C111:C118)</f>
        <v>15581318</v>
      </c>
      <c r="D120" s="156">
        <f>SUM(D111:D118)</f>
        <v>14752635</v>
      </c>
      <c r="E120" s="156">
        <f>SUM(E111:E118)</f>
        <v>8338204.5299999993</v>
      </c>
      <c r="F120" s="156">
        <f>SUM(F111:F118)</f>
        <v>12099325</v>
      </c>
      <c r="G120" s="156">
        <f>SUM(G111:G118)</f>
        <v>13032399</v>
      </c>
    </row>
    <row r="121" spans="1:7" hidden="1">
      <c r="A121" s="61"/>
      <c r="B121" s="53" t="s">
        <v>83</v>
      </c>
      <c r="C121" s="73">
        <f>+C98-C120</f>
        <v>1</v>
      </c>
      <c r="D121" s="73">
        <f>+D98-D120</f>
        <v>0</v>
      </c>
      <c r="E121" s="73">
        <f>+E98-E120</f>
        <v>0.6799999987706542</v>
      </c>
      <c r="F121" s="73">
        <f>+F98-F120</f>
        <v>0</v>
      </c>
      <c r="G121" s="73">
        <f>+G98-G120</f>
        <v>0</v>
      </c>
    </row>
    <row r="122" spans="1:7">
      <c r="A122" s="53"/>
      <c r="B122" s="78"/>
      <c r="C122" s="79"/>
      <c r="D122" s="79"/>
      <c r="E122" s="80"/>
      <c r="F122" s="80"/>
      <c r="G122" s="80"/>
    </row>
    <row r="123" spans="1:7" ht="37.5" customHeight="1">
      <c r="A123" s="262" t="s">
        <v>114</v>
      </c>
      <c r="B123" s="263"/>
      <c r="C123" s="256">
        <f>C56/(C32)</f>
        <v>-5.4663799569557867E-3</v>
      </c>
      <c r="D123" s="256">
        <f>D56/(D32)</f>
        <v>-2.79542020268807E-2</v>
      </c>
      <c r="E123" s="256">
        <f>E56/(E32)</f>
        <v>5.8570265992654007E-3</v>
      </c>
      <c r="F123" s="256">
        <f>F56/(F32)</f>
        <v>6.4972638193205645E-2</v>
      </c>
      <c r="G123" s="256">
        <f>G56/(G32)</f>
        <v>2.2367238932657518E-2</v>
      </c>
    </row>
    <row r="124" spans="1:7" ht="24">
      <c r="A124" s="192"/>
      <c r="B124" s="193" t="s">
        <v>115</v>
      </c>
      <c r="C124" s="256"/>
      <c r="D124" s="256"/>
      <c r="E124" s="256"/>
      <c r="F124" s="256"/>
      <c r="G124" s="256"/>
    </row>
    <row r="125" spans="1:7" ht="14.25">
      <c r="A125" s="194" t="s">
        <v>188</v>
      </c>
      <c r="B125" s="195"/>
      <c r="C125" s="253">
        <f>(SUM(C84:C85))/SUM(C100:C105)</f>
        <v>6.1202588025692721</v>
      </c>
      <c r="D125" s="253">
        <f>(SUM(D84:D85))/SUM(D100:D105)</f>
        <v>1.4569106680211033</v>
      </c>
      <c r="E125" s="253">
        <f>(SUM(E84:E85))/SUM(E100:E105)</f>
        <v>1.2006356560248994</v>
      </c>
      <c r="F125" s="253">
        <f>(SUM(F84:F85))/SUM(F100:F105)</f>
        <v>10.817491769296428</v>
      </c>
      <c r="G125" s="253">
        <f>(SUM(G84:G85))/SUM(G100:G105)</f>
        <v>3.2705886546074736</v>
      </c>
    </row>
    <row r="126" spans="1:7" ht="36">
      <c r="A126" s="196"/>
      <c r="B126" s="197" t="s">
        <v>189</v>
      </c>
      <c r="C126" s="254"/>
      <c r="D126" s="254"/>
      <c r="E126" s="254"/>
      <c r="F126" s="254"/>
      <c r="G126" s="254"/>
    </row>
    <row r="127" spans="1:7" ht="14.25">
      <c r="A127" s="194" t="s">
        <v>190</v>
      </c>
      <c r="B127" s="195"/>
      <c r="C127" s="253">
        <f>(SUM(C84:C85))/SUM(C100:C106)</f>
        <v>4.7032108341810783</v>
      </c>
      <c r="D127" s="253">
        <f>(SUM(D84:D85))/SUM(D100:D106)</f>
        <v>1.2395039723896586</v>
      </c>
      <c r="E127" s="253">
        <f>(SUM(E84:E85))/SUM(E100:E106)</f>
        <v>0.9034452585101056</v>
      </c>
      <c r="F127" s="253">
        <f>(SUM(F84:F85))/SUM(F100:F106)</f>
        <v>8.5925763682670784</v>
      </c>
      <c r="G127" s="253">
        <f>(SUM(G84:G85))/SUM(G100:G106)</f>
        <v>2.5224824859067674</v>
      </c>
    </row>
    <row r="128" spans="1:7" ht="24">
      <c r="A128" s="196"/>
      <c r="B128" s="197" t="s">
        <v>191</v>
      </c>
      <c r="C128" s="254"/>
      <c r="D128" s="254"/>
      <c r="E128" s="254"/>
      <c r="F128" s="254"/>
      <c r="G128" s="254"/>
    </row>
    <row r="129" spans="1:7" s="115" customFormat="1" ht="8.1" customHeight="1">
      <c r="A129" s="116"/>
      <c r="B129" s="117"/>
      <c r="C129" s="118"/>
      <c r="D129" s="118"/>
      <c r="E129" s="118"/>
      <c r="F129" s="118"/>
      <c r="G129" s="119"/>
    </row>
    <row r="130" spans="1:7">
      <c r="A130" s="199" t="s">
        <v>116</v>
      </c>
      <c r="B130" s="58"/>
      <c r="C130" s="255">
        <f>C111/C98</f>
        <v>0.1806365687012762</v>
      </c>
      <c r="D130" s="255">
        <f>D111/D98</f>
        <v>0.59455527775207617</v>
      </c>
      <c r="E130" s="255">
        <f>E111/E98</f>
        <v>0.88070533946477447</v>
      </c>
      <c r="F130" s="255">
        <f>F111/F98</f>
        <v>0.15716099865075117</v>
      </c>
      <c r="G130" s="255">
        <f>G111/G98</f>
        <v>0.24183053327326764</v>
      </c>
    </row>
    <row r="131" spans="1:7" ht="25.5">
      <c r="A131" s="192"/>
      <c r="B131" s="198" t="s">
        <v>117</v>
      </c>
      <c r="C131" s="255"/>
      <c r="D131" s="255"/>
      <c r="E131" s="255"/>
      <c r="F131" s="255"/>
      <c r="G131" s="255"/>
    </row>
    <row r="132" spans="1:7">
      <c r="A132" s="199" t="s">
        <v>118</v>
      </c>
      <c r="B132" s="200"/>
      <c r="C132" s="255">
        <f>C119/C98</f>
        <v>0.81936336711930491</v>
      </c>
      <c r="D132" s="255">
        <f>D119/D98</f>
        <v>0.40544472224792383</v>
      </c>
      <c r="E132" s="255">
        <f>E119/E98</f>
        <v>0.11929457898290326</v>
      </c>
      <c r="F132" s="255">
        <f>F119/F98</f>
        <v>0.84283900134924883</v>
      </c>
      <c r="G132" s="255">
        <f>G119/G98</f>
        <v>0.75816946672673236</v>
      </c>
    </row>
    <row r="133" spans="1:7" ht="24">
      <c r="A133" s="192"/>
      <c r="B133" s="193" t="s">
        <v>119</v>
      </c>
      <c r="C133" s="255"/>
      <c r="D133" s="255"/>
      <c r="E133" s="255"/>
      <c r="F133" s="255"/>
      <c r="G133" s="255"/>
    </row>
    <row r="134" spans="1:7">
      <c r="A134" s="264" t="s">
        <v>120</v>
      </c>
      <c r="B134" s="265"/>
      <c r="C134" s="255">
        <f>C111/C119</f>
        <v>0.22045965923074309</v>
      </c>
      <c r="D134" s="255">
        <f>D111/D119</f>
        <v>1.4664274687204186</v>
      </c>
      <c r="E134" s="255">
        <f>E111/E119</f>
        <v>7.3826098970598917</v>
      </c>
      <c r="F134" s="255">
        <f>F111/F119</f>
        <v>0.18646621525482548</v>
      </c>
      <c r="G134" s="255">
        <f>G111/G119</f>
        <v>0.31896633125748236</v>
      </c>
    </row>
    <row r="135" spans="1:7">
      <c r="A135" s="192"/>
      <c r="B135" s="193" t="s">
        <v>121</v>
      </c>
      <c r="C135" s="255"/>
      <c r="D135" s="255"/>
      <c r="E135" s="255"/>
      <c r="F135" s="255"/>
      <c r="G135" s="255"/>
    </row>
    <row r="136" spans="1:7" s="115" customFormat="1" ht="8.1" customHeight="1">
      <c r="A136" s="120"/>
      <c r="B136" s="121"/>
      <c r="C136" s="121"/>
      <c r="D136" s="121"/>
      <c r="E136" s="121"/>
      <c r="F136" s="121"/>
      <c r="G136" s="127"/>
    </row>
    <row r="137" spans="1:7">
      <c r="A137" s="201" t="s">
        <v>122</v>
      </c>
      <c r="B137" s="21"/>
      <c r="C137" s="91">
        <v>10</v>
      </c>
      <c r="D137" s="91">
        <v>26</v>
      </c>
      <c r="E137" s="91">
        <v>30</v>
      </c>
      <c r="F137" s="91">
        <v>43</v>
      </c>
      <c r="G137" s="91">
        <v>22</v>
      </c>
    </row>
    <row r="138" spans="1:7" s="115" customFormat="1" ht="8.1" customHeight="1">
      <c r="A138" s="126"/>
      <c r="B138" s="121"/>
      <c r="C138" s="123"/>
      <c r="D138" s="123"/>
      <c r="E138" s="123"/>
      <c r="F138" s="123"/>
      <c r="G138" s="132"/>
    </row>
    <row r="139" spans="1:7">
      <c r="A139" s="203" t="s">
        <v>123</v>
      </c>
      <c r="B139" s="203"/>
      <c r="C139" s="133">
        <v>278216</v>
      </c>
      <c r="D139" s="133">
        <v>285590</v>
      </c>
      <c r="E139" s="133">
        <v>187882</v>
      </c>
      <c r="F139" s="133">
        <v>12030</v>
      </c>
      <c r="G139" s="133">
        <v>137390</v>
      </c>
    </row>
    <row r="140" spans="1:7">
      <c r="A140" s="202" t="s">
        <v>124</v>
      </c>
      <c r="B140" s="202"/>
      <c r="C140" s="133">
        <v>141754</v>
      </c>
      <c r="D140" s="133">
        <v>39188</v>
      </c>
      <c r="E140" s="133">
        <v>177864</v>
      </c>
      <c r="F140" s="50">
        <v>5763</v>
      </c>
      <c r="G140" s="133">
        <v>81727</v>
      </c>
    </row>
    <row r="141" spans="1:7">
      <c r="A141" s="202" t="s">
        <v>125</v>
      </c>
      <c r="B141" s="202"/>
      <c r="C141" s="133">
        <v>419970</v>
      </c>
      <c r="D141" s="133">
        <v>324778</v>
      </c>
      <c r="E141" s="133">
        <v>365746</v>
      </c>
      <c r="F141" s="133">
        <v>17793</v>
      </c>
      <c r="G141" s="133">
        <v>219117</v>
      </c>
    </row>
    <row r="142" spans="1:7">
      <c r="A142" s="10" t="s">
        <v>175</v>
      </c>
    </row>
  </sheetData>
  <mergeCells count="39">
    <mergeCell ref="G2:G3"/>
    <mergeCell ref="A134:B134"/>
    <mergeCell ref="A1:B3"/>
    <mergeCell ref="C2:C3"/>
    <mergeCell ref="D2:D3"/>
    <mergeCell ref="E2:E3"/>
    <mergeCell ref="F2:F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C124 E123:G124">
    <cfRule type="cellIs" dxfId="8" priority="5" operator="lessThan">
      <formula>0</formula>
    </cfRule>
  </conditionalFormatting>
  <conditionalFormatting sqref="E66:G66">
    <cfRule type="cellIs" dxfId="7" priority="4" operator="lessThan">
      <formula>0</formula>
    </cfRule>
  </conditionalFormatting>
  <conditionalFormatting sqref="C66">
    <cfRule type="cellIs" dxfId="6" priority="3" operator="lessThan">
      <formula>0</formula>
    </cfRule>
  </conditionalFormatting>
  <conditionalFormatting sqref="D123:D124">
    <cfRule type="cellIs" dxfId="5" priority="2" operator="lessThan">
      <formula>0</formula>
    </cfRule>
  </conditionalFormatting>
  <conditionalFormatting sqref="D66">
    <cfRule type="cellIs" dxfId="4" priority="1" operator="lessThan">
      <formula>0</formula>
    </cfRule>
  </conditionalFormatting>
  <printOptions horizontalCentered="1"/>
  <pageMargins left="0.5" right="0.5" top="0.7" bottom="0.35" header="0.5" footer="0.15"/>
  <pageSetup scale="66" orientation="portrait" r:id="rId1"/>
  <headerFooter alignWithMargins="0">
    <oddHeader>&amp;C&amp;"Arial,Bold"&amp;14CLASS VI FAIRS</oddHeader>
    <oddFooter>&amp;CFairs and Expositions</oddFooter>
  </headerFooter>
  <rowBreaks count="1" manualBreakCount="1">
    <brk id="7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SummaryStats</vt:lpstr>
      <vt:lpstr>Class 1</vt:lpstr>
      <vt:lpstr>Class 2</vt:lpstr>
      <vt:lpstr>Class 3</vt:lpstr>
      <vt:lpstr>Class 3+</vt:lpstr>
      <vt:lpstr>Class 4</vt:lpstr>
      <vt:lpstr>Class 4+</vt:lpstr>
      <vt:lpstr>Class 5</vt:lpstr>
      <vt:lpstr>Class 6</vt:lpstr>
      <vt:lpstr>Class 7</vt:lpstr>
      <vt:lpstr>'Class 1'!Print_Area</vt:lpstr>
      <vt:lpstr>'Class 2'!Print_Area</vt:lpstr>
      <vt:lpstr>'Class 3'!Print_Area</vt:lpstr>
      <vt:lpstr>'Class 3+'!Print_Area</vt:lpstr>
      <vt:lpstr>'Class 4'!Print_Area</vt:lpstr>
      <vt:lpstr>'Class 4+'!Print_Area</vt:lpstr>
      <vt:lpstr>'Class 5'!Print_Area</vt:lpstr>
      <vt:lpstr>'Class 6'!Print_Area</vt:lpstr>
      <vt:lpstr>'Class 7'!Print_Area</vt:lpstr>
      <vt:lpstr>SummaryStats!Print_Area</vt:lpstr>
      <vt:lpstr>'Class 1'!Print_Titles</vt:lpstr>
      <vt:lpstr>'Class 2'!Print_Titles</vt:lpstr>
      <vt:lpstr>'Class 3'!Print_Titles</vt:lpstr>
      <vt:lpstr>'Class 3+'!Print_Titles</vt:lpstr>
      <vt:lpstr>'Class 4'!Print_Titles</vt:lpstr>
      <vt:lpstr>'Class 4+'!Print_Titles</vt:lpstr>
      <vt:lpstr>'Class 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Joji Kume</dc:creator>
  <cp:lastModifiedBy>Joji Kume</cp:lastModifiedBy>
  <cp:lastPrinted>2018-10-18T21:51:52Z</cp:lastPrinted>
  <dcterms:created xsi:type="dcterms:W3CDTF">2016-11-16T19:39:59Z</dcterms:created>
  <dcterms:modified xsi:type="dcterms:W3CDTF">2019-12-03T16:42:55Z</dcterms:modified>
</cp:coreProperties>
</file>