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oji.kume\Desktop\Work Projects\STOP\STOP Publication\Steffanic\"/>
    </mc:Choice>
  </mc:AlternateContent>
  <xr:revisionPtr revIDLastSave="0" documentId="13_ncr:1_{63906E8D-CCB9-45FE-BD24-7DA7C64C60A4}" xr6:coauthVersionLast="44" xr6:coauthVersionMax="44" xr10:uidLastSave="{00000000-0000-0000-0000-000000000000}"/>
  <bookViews>
    <workbookView xWindow="25080" yWindow="-120" windowWidth="25440" windowHeight="15390" activeTab="2" xr2:uid="{00000000-000D-0000-FFFF-FFFF00000000}"/>
  </bookViews>
  <sheets>
    <sheet name="SummaryStats" sheetId="1" r:id="rId1"/>
    <sheet name="Class Cover Page" sheetId="20" r:id="rId2"/>
    <sheet name="Class 1" sheetId="8" r:id="rId3"/>
    <sheet name="Class 2" sheetId="9" r:id="rId4"/>
    <sheet name="Class 3" sheetId="10" r:id="rId5"/>
    <sheet name="Class 3+" sheetId="11" r:id="rId6"/>
    <sheet name="Class 4" sheetId="12" r:id="rId7"/>
    <sheet name="Class 4+" sheetId="13" r:id="rId8"/>
    <sheet name="Class 5" sheetId="14" r:id="rId9"/>
    <sheet name="Class 6" sheetId="15" r:id="rId10"/>
    <sheet name="Class 7" sheetId="16" r:id="rId11"/>
  </sheets>
  <externalReferences>
    <externalReference r:id="rId12"/>
    <externalReference r:id="rId13"/>
    <externalReference r:id="rId14"/>
  </externalReferences>
  <definedNames>
    <definedName name="_2" localSheetId="1" hidden="1">'[1]Fd. 0001-PY GAAP adj.'!#REF!</definedName>
    <definedName name="_2" hidden="1">'[1]Fd. 0001-PY GAAP adj.'!#REF!</definedName>
    <definedName name="_a" localSheetId="1" hidden="1">'[2]Fd. 0001-PY GAAP adj.'!#REF!</definedName>
    <definedName name="_a" hidden="1">'[2]Fd. 0001-PY GAAP adj.'!#REF!</definedName>
    <definedName name="_Key1" localSheetId="1" hidden="1">'[3]Fd. 0001-PY GAAP adj.'!#REF!</definedName>
    <definedName name="_Key1" hidden="1">'[3]Fd. 0001-PY GAAP adj.'!#REF!</definedName>
    <definedName name="_Key2" localSheetId="1" hidden="1">'[3]Fd. 0001-PY GAAP adj.'!#REF!</definedName>
    <definedName name="_Key2" hidden="1">'[3]Fd. 0001-PY GAAP adj.'!#REF!</definedName>
    <definedName name="_Order1" hidden="1">255</definedName>
    <definedName name="_Order2" hidden="1">255</definedName>
    <definedName name="_Sort" localSheetId="1" hidden="1">'[3]Fd. 0001-PY GAAP adj.'!#REF!</definedName>
    <definedName name="_Sort" hidden="1">'[3]Fd. 0001-PY GAAP adj.'!#REF!</definedName>
    <definedName name="_xlnm.Print_Area" localSheetId="2">'Class 1'!$A$1:$N$149</definedName>
    <definedName name="_xlnm.Print_Area" localSheetId="3">'Class 2'!$A$1:$K$149</definedName>
    <definedName name="_xlnm.Print_Area" localSheetId="4">'Class 3'!$A$1:$P$149</definedName>
    <definedName name="_xlnm.Print_Area" localSheetId="5">'Class 3+'!$A$1:$P$149</definedName>
    <definedName name="_xlnm.Print_Area" localSheetId="6">'Class 4'!$A$1:$J$149</definedName>
    <definedName name="_xlnm.Print_Area" localSheetId="7">'Class 4+'!$A$1:$H$149</definedName>
    <definedName name="_xlnm.Print_Area" localSheetId="8">'Class 5'!$A$1:$F$149</definedName>
    <definedName name="_xlnm.Print_Area" localSheetId="9">'Class 6'!$A$1:$G$149</definedName>
    <definedName name="_xlnm.Print_Area" localSheetId="10">'Class 7'!$A$1:$G$149</definedName>
    <definedName name="_xlnm.Print_Area" localSheetId="1">'Class Cover Page'!$B$1:$K$21</definedName>
    <definedName name="_xlnm.Print_Area" localSheetId="0">SummaryStats!$A$1:$J$29</definedName>
    <definedName name="_xlnm.Print_Titles" localSheetId="2">'Class 1'!$A:$B</definedName>
    <definedName name="_xlnm.Print_Titles" localSheetId="3">'Class 2'!$A:$B</definedName>
    <definedName name="_xlnm.Print_Titles" localSheetId="4">'Class 3'!$A:$B</definedName>
    <definedName name="_xlnm.Print_Titles" localSheetId="5">'Class 3+'!$A:$B</definedName>
    <definedName name="_xlnm.Print_Titles" localSheetId="6">'Class 4'!$A:$B</definedName>
    <definedName name="_xlnm.Print_Titles" localSheetId="7">'Class 4+'!$A:$B</definedName>
    <definedName name="_xlnm.Print_Titles" localSheetId="8">'Class 5'!$A:$B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7" i="14" l="1"/>
  <c r="K5" i="20" l="1"/>
  <c r="J5" i="20"/>
  <c r="H5" i="20"/>
  <c r="G5" i="20"/>
  <c r="F5" i="20"/>
  <c r="E5" i="20"/>
  <c r="D5" i="20"/>
  <c r="C5" i="20"/>
  <c r="K4" i="20"/>
  <c r="J4" i="20"/>
  <c r="I4" i="20"/>
  <c r="H4" i="20"/>
  <c r="G4" i="20"/>
  <c r="F4" i="20"/>
  <c r="E4" i="20"/>
  <c r="D4" i="20"/>
  <c r="C4" i="20"/>
  <c r="K17" i="20"/>
  <c r="J17" i="20"/>
  <c r="I17" i="20"/>
  <c r="H17" i="20"/>
  <c r="G17" i="20"/>
  <c r="F17" i="20"/>
  <c r="E17" i="20"/>
  <c r="D17" i="20"/>
  <c r="C17" i="20"/>
  <c r="K16" i="20"/>
  <c r="J16" i="20"/>
  <c r="I16" i="20"/>
  <c r="H16" i="20"/>
  <c r="G16" i="20"/>
  <c r="F16" i="20"/>
  <c r="E16" i="20"/>
  <c r="D16" i="20"/>
  <c r="C16" i="20"/>
  <c r="K15" i="20"/>
  <c r="J15" i="20"/>
  <c r="I15" i="20"/>
  <c r="H15" i="20"/>
  <c r="G15" i="20"/>
  <c r="F15" i="20"/>
  <c r="E15" i="20"/>
  <c r="D15" i="20"/>
  <c r="C15" i="20"/>
  <c r="K14" i="20"/>
  <c r="J14" i="20"/>
  <c r="I14" i="20"/>
  <c r="H14" i="20"/>
  <c r="G14" i="20"/>
  <c r="F14" i="20"/>
  <c r="E14" i="20"/>
  <c r="D14" i="20"/>
  <c r="C14" i="20"/>
  <c r="K13" i="20"/>
  <c r="J13" i="20"/>
  <c r="I13" i="20"/>
  <c r="H13" i="20"/>
  <c r="G13" i="20"/>
  <c r="F13" i="20"/>
  <c r="E13" i="20"/>
  <c r="D13" i="20"/>
  <c r="C13" i="20"/>
  <c r="K12" i="20"/>
  <c r="J12" i="20"/>
  <c r="H12" i="20"/>
  <c r="G12" i="20"/>
  <c r="F12" i="20"/>
  <c r="E12" i="20"/>
  <c r="D12" i="20"/>
  <c r="C12" i="20"/>
  <c r="K11" i="20"/>
  <c r="J11" i="20"/>
  <c r="H11" i="20"/>
  <c r="G11" i="20"/>
  <c r="F11" i="20"/>
  <c r="E11" i="20"/>
  <c r="D11" i="20"/>
  <c r="C11" i="20"/>
  <c r="K10" i="20"/>
  <c r="J10" i="20"/>
  <c r="H10" i="20"/>
  <c r="G10" i="20"/>
  <c r="F10" i="20"/>
  <c r="E10" i="20"/>
  <c r="D10" i="20"/>
  <c r="C10" i="20"/>
  <c r="K9" i="20"/>
  <c r="J9" i="20"/>
  <c r="H9" i="20"/>
  <c r="G9" i="20"/>
  <c r="F9" i="20"/>
  <c r="E9" i="20"/>
  <c r="D9" i="20"/>
  <c r="C9" i="20"/>
  <c r="K7" i="20"/>
  <c r="J7" i="20"/>
  <c r="I7" i="20"/>
  <c r="H7" i="20"/>
  <c r="G7" i="20"/>
  <c r="F7" i="20"/>
  <c r="E7" i="20"/>
  <c r="D7" i="20"/>
  <c r="C7" i="20"/>
  <c r="K6" i="20"/>
  <c r="J6" i="20"/>
  <c r="I6" i="20"/>
  <c r="H6" i="20"/>
  <c r="G6" i="20"/>
  <c r="F6" i="20"/>
  <c r="E6" i="20"/>
  <c r="D6" i="20"/>
  <c r="C6" i="20"/>
  <c r="F18" i="20" l="1"/>
  <c r="E18" i="20"/>
  <c r="D18" i="20"/>
  <c r="I18" i="20"/>
  <c r="H18" i="20"/>
  <c r="G18" i="20"/>
  <c r="J18" i="20"/>
  <c r="C18" i="20"/>
  <c r="K18" i="20"/>
  <c r="E97" i="16"/>
  <c r="G61" i="16" l="1"/>
  <c r="F61" i="16"/>
  <c r="D61" i="16"/>
  <c r="C61" i="16"/>
  <c r="C60" i="16"/>
  <c r="G58" i="16"/>
  <c r="F58" i="16"/>
  <c r="D58" i="16"/>
  <c r="C58" i="16"/>
  <c r="C57" i="16"/>
  <c r="H58" i="15"/>
  <c r="H61" i="15"/>
  <c r="G61" i="15"/>
  <c r="F61" i="15"/>
  <c r="E61" i="15"/>
  <c r="D61" i="15"/>
  <c r="C61" i="15"/>
  <c r="C60" i="15"/>
  <c r="G58" i="15"/>
  <c r="F58" i="15"/>
  <c r="E58" i="15"/>
  <c r="D58" i="15"/>
  <c r="C58" i="15"/>
  <c r="C57" i="15"/>
  <c r="F61" i="14"/>
  <c r="D61" i="14"/>
  <c r="C61" i="14"/>
  <c r="C60" i="14"/>
  <c r="F58" i="14"/>
  <c r="D58" i="14"/>
  <c r="C58" i="14"/>
  <c r="C57" i="14"/>
  <c r="I61" i="13"/>
  <c r="H61" i="13"/>
  <c r="G61" i="13"/>
  <c r="F61" i="13"/>
  <c r="E61" i="13"/>
  <c r="D61" i="13"/>
  <c r="C61" i="13"/>
  <c r="C60" i="13"/>
  <c r="I58" i="13"/>
  <c r="H58" i="13"/>
  <c r="G58" i="13"/>
  <c r="F58" i="13"/>
  <c r="E58" i="13"/>
  <c r="D58" i="13"/>
  <c r="C58" i="13"/>
  <c r="C57" i="13"/>
  <c r="K61" i="12"/>
  <c r="J61" i="12"/>
  <c r="I61" i="12"/>
  <c r="H61" i="12"/>
  <c r="G61" i="12"/>
  <c r="F61" i="12"/>
  <c r="E61" i="12"/>
  <c r="D61" i="12"/>
  <c r="C61" i="12"/>
  <c r="C60" i="12"/>
  <c r="K58" i="12"/>
  <c r="J58" i="12"/>
  <c r="I58" i="12"/>
  <c r="H58" i="12"/>
  <c r="G58" i="12"/>
  <c r="F58" i="12"/>
  <c r="E58" i="12"/>
  <c r="D58" i="12"/>
  <c r="C58" i="12"/>
  <c r="C57" i="12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C60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C57" i="11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C58" i="10"/>
  <c r="C57" i="10"/>
  <c r="L61" i="9"/>
  <c r="K61" i="9"/>
  <c r="J61" i="9"/>
  <c r="I61" i="9"/>
  <c r="H61" i="9"/>
  <c r="G61" i="9"/>
  <c r="F61" i="9"/>
  <c r="E61" i="9"/>
  <c r="D61" i="9"/>
  <c r="C61" i="9"/>
  <c r="C60" i="9"/>
  <c r="L58" i="9"/>
  <c r="K58" i="9"/>
  <c r="J58" i="9"/>
  <c r="I58" i="9"/>
  <c r="H58" i="9"/>
  <c r="G58" i="9"/>
  <c r="F58" i="9"/>
  <c r="E58" i="9"/>
  <c r="D58" i="9"/>
  <c r="C58" i="9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G111" i="15"/>
  <c r="G55" i="15"/>
  <c r="J70" i="9"/>
  <c r="I70" i="9"/>
  <c r="H70" i="9"/>
  <c r="G70" i="9"/>
  <c r="F70" i="9"/>
  <c r="E70" i="9"/>
  <c r="D70" i="9"/>
  <c r="C70" i="9"/>
  <c r="K70" i="9"/>
  <c r="O70" i="10"/>
  <c r="N70" i="10"/>
  <c r="M70" i="10"/>
  <c r="L70" i="10"/>
  <c r="K70" i="10"/>
  <c r="J70" i="10"/>
  <c r="I70" i="10"/>
  <c r="H70" i="10"/>
  <c r="G70" i="10"/>
  <c r="F70" i="10"/>
  <c r="E70" i="10"/>
  <c r="D70" i="10"/>
  <c r="C70" i="10"/>
  <c r="P70" i="10"/>
  <c r="O70" i="11"/>
  <c r="N70" i="11"/>
  <c r="M70" i="11"/>
  <c r="L70" i="11"/>
  <c r="K70" i="11"/>
  <c r="J70" i="11"/>
  <c r="I70" i="11"/>
  <c r="H70" i="11"/>
  <c r="G70" i="11"/>
  <c r="F70" i="11"/>
  <c r="E70" i="11"/>
  <c r="D70" i="11"/>
  <c r="C70" i="11"/>
  <c r="P70" i="11"/>
  <c r="I70" i="12"/>
  <c r="H70" i="12"/>
  <c r="G70" i="12"/>
  <c r="F70" i="12"/>
  <c r="E70" i="12"/>
  <c r="D70" i="12"/>
  <c r="C70" i="12"/>
  <c r="J70" i="12"/>
  <c r="G70" i="13"/>
  <c r="F70" i="13"/>
  <c r="E70" i="13"/>
  <c r="D70" i="13"/>
  <c r="C70" i="13"/>
  <c r="H70" i="13"/>
  <c r="D70" i="14"/>
  <c r="C70" i="14"/>
  <c r="F70" i="14"/>
  <c r="F70" i="15"/>
  <c r="E70" i="15"/>
  <c r="D70" i="15"/>
  <c r="C70" i="15"/>
  <c r="G70" i="15"/>
  <c r="F111" i="16"/>
  <c r="C70" i="16"/>
  <c r="D71" i="16"/>
  <c r="D70" i="16"/>
  <c r="G71" i="16"/>
  <c r="G70" i="16"/>
  <c r="F70" i="16"/>
  <c r="F55" i="16"/>
  <c r="Q112" i="8"/>
  <c r="R112" i="10"/>
  <c r="J112" i="13"/>
  <c r="H112" i="14"/>
  <c r="I112" i="15"/>
  <c r="I112" i="16"/>
  <c r="I113" i="8"/>
  <c r="E113" i="8"/>
  <c r="G113" i="16"/>
  <c r="F113" i="16"/>
  <c r="E113" i="16"/>
  <c r="D113" i="16"/>
  <c r="C113" i="16"/>
  <c r="G113" i="15"/>
  <c r="F113" i="15"/>
  <c r="E113" i="15"/>
  <c r="D113" i="15"/>
  <c r="C113" i="15"/>
  <c r="F113" i="14"/>
  <c r="E113" i="14"/>
  <c r="D113" i="14"/>
  <c r="C113" i="14"/>
  <c r="H113" i="13"/>
  <c r="G113" i="13"/>
  <c r="F113" i="13"/>
  <c r="E113" i="13"/>
  <c r="D113" i="13"/>
  <c r="C113" i="13"/>
  <c r="L112" i="12"/>
  <c r="J113" i="12"/>
  <c r="I113" i="12"/>
  <c r="H113" i="12"/>
  <c r="G113" i="12"/>
  <c r="F113" i="12"/>
  <c r="E113" i="12"/>
  <c r="D113" i="12"/>
  <c r="C113" i="12"/>
  <c r="R112" i="11"/>
  <c r="P113" i="11"/>
  <c r="O113" i="11"/>
  <c r="N113" i="11"/>
  <c r="M113" i="11"/>
  <c r="L113" i="11"/>
  <c r="K113" i="11"/>
  <c r="J113" i="11"/>
  <c r="I113" i="11"/>
  <c r="H113" i="11"/>
  <c r="G113" i="11"/>
  <c r="F113" i="11"/>
  <c r="E113" i="11"/>
  <c r="D113" i="11"/>
  <c r="C113" i="11"/>
  <c r="P113" i="10"/>
  <c r="O113" i="10"/>
  <c r="N113" i="10"/>
  <c r="M113" i="10"/>
  <c r="L113" i="10"/>
  <c r="K113" i="10"/>
  <c r="J113" i="10"/>
  <c r="I113" i="10"/>
  <c r="H113" i="10"/>
  <c r="G113" i="10"/>
  <c r="F113" i="10"/>
  <c r="E113" i="10"/>
  <c r="D113" i="10"/>
  <c r="C113" i="10"/>
  <c r="M112" i="9"/>
  <c r="K113" i="9"/>
  <c r="J113" i="9"/>
  <c r="I113" i="9"/>
  <c r="H113" i="9"/>
  <c r="G113" i="9"/>
  <c r="F113" i="9"/>
  <c r="E113" i="9"/>
  <c r="D113" i="9"/>
  <c r="C113" i="9"/>
  <c r="N113" i="8"/>
  <c r="M113" i="8"/>
  <c r="L113" i="8"/>
  <c r="K113" i="8"/>
  <c r="J113" i="8"/>
  <c r="H113" i="8"/>
  <c r="G113" i="8"/>
  <c r="F113" i="8"/>
  <c r="C113" i="8"/>
  <c r="G62" i="16"/>
  <c r="D62" i="16"/>
  <c r="C62" i="16"/>
  <c r="G60" i="16"/>
  <c r="F60" i="16"/>
  <c r="D60" i="16"/>
  <c r="G59" i="16"/>
  <c r="D59" i="16"/>
  <c r="C59" i="16"/>
  <c r="G62" i="15"/>
  <c r="F62" i="15"/>
  <c r="E62" i="15"/>
  <c r="D62" i="15"/>
  <c r="C62" i="15"/>
  <c r="G60" i="15"/>
  <c r="F60" i="15"/>
  <c r="E60" i="15"/>
  <c r="D60" i="15"/>
  <c r="G59" i="15"/>
  <c r="F59" i="15"/>
  <c r="E59" i="15"/>
  <c r="D59" i="15"/>
  <c r="C59" i="15"/>
  <c r="I56" i="15"/>
  <c r="F62" i="14"/>
  <c r="D62" i="14"/>
  <c r="C62" i="14"/>
  <c r="F60" i="14"/>
  <c r="D60" i="14"/>
  <c r="D59" i="14"/>
  <c r="F59" i="14"/>
  <c r="C59" i="14"/>
  <c r="H56" i="14"/>
  <c r="H62" i="13"/>
  <c r="G62" i="13"/>
  <c r="F62" i="13"/>
  <c r="E62" i="13"/>
  <c r="D62" i="13"/>
  <c r="C62" i="13"/>
  <c r="H60" i="13"/>
  <c r="G60" i="13"/>
  <c r="F60" i="13"/>
  <c r="E60" i="13"/>
  <c r="D60" i="13"/>
  <c r="H59" i="13"/>
  <c r="G59" i="13"/>
  <c r="F59" i="13"/>
  <c r="E59" i="13"/>
  <c r="D59" i="13"/>
  <c r="C59" i="13"/>
  <c r="J62" i="12"/>
  <c r="I62" i="12"/>
  <c r="H62" i="12"/>
  <c r="G62" i="12"/>
  <c r="F62" i="12"/>
  <c r="E62" i="12"/>
  <c r="D62" i="12"/>
  <c r="C62" i="12"/>
  <c r="J60" i="12"/>
  <c r="I60" i="12"/>
  <c r="H60" i="12"/>
  <c r="G60" i="12"/>
  <c r="F60" i="12"/>
  <c r="E60" i="12"/>
  <c r="D60" i="12"/>
  <c r="J59" i="12"/>
  <c r="I59" i="12"/>
  <c r="H59" i="12"/>
  <c r="G59" i="12"/>
  <c r="F59" i="12"/>
  <c r="E59" i="12"/>
  <c r="D59" i="12"/>
  <c r="L56" i="12"/>
  <c r="C59" i="12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R56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F59" i="16" l="1"/>
  <c r="F62" i="16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R56" i="10"/>
  <c r="K62" i="9"/>
  <c r="J62" i="9"/>
  <c r="I62" i="9"/>
  <c r="H62" i="9"/>
  <c r="G62" i="9"/>
  <c r="F62" i="9"/>
  <c r="E62" i="9"/>
  <c r="D62" i="9"/>
  <c r="C62" i="9"/>
  <c r="K60" i="9"/>
  <c r="J60" i="9"/>
  <c r="I60" i="9"/>
  <c r="H60" i="9"/>
  <c r="G60" i="9"/>
  <c r="F60" i="9"/>
  <c r="E60" i="9"/>
  <c r="D60" i="9"/>
  <c r="K59" i="9"/>
  <c r="J59" i="9"/>
  <c r="I59" i="9"/>
  <c r="H59" i="9"/>
  <c r="G59" i="9"/>
  <c r="F59" i="9"/>
  <c r="E59" i="9"/>
  <c r="D59" i="9"/>
  <c r="C59" i="9"/>
  <c r="M56" i="9"/>
  <c r="M12" i="9"/>
  <c r="M13" i="9"/>
  <c r="I56" i="16"/>
  <c r="J56" i="13"/>
  <c r="Q56" i="8"/>
  <c r="M9" i="9" l="1"/>
  <c r="R9" i="10"/>
  <c r="H9" i="14"/>
  <c r="I9" i="15" l="1"/>
  <c r="D97" i="16" l="1"/>
  <c r="C97" i="8" l="1"/>
  <c r="F97" i="10" l="1"/>
  <c r="F14" i="10"/>
  <c r="E97" i="10" l="1"/>
  <c r="G104" i="9" l="1"/>
  <c r="G107" i="9"/>
  <c r="G97" i="9"/>
  <c r="G32" i="9"/>
  <c r="G14" i="9"/>
  <c r="G115" i="9" l="1"/>
  <c r="C97" i="14" l="1"/>
  <c r="L117" i="12"/>
  <c r="L111" i="12"/>
  <c r="L110" i="12"/>
  <c r="L109" i="12"/>
  <c r="L108" i="12"/>
  <c r="L107" i="12"/>
  <c r="L106" i="12"/>
  <c r="L105" i="12"/>
  <c r="L104" i="12"/>
  <c r="L103" i="12"/>
  <c r="L114" i="12"/>
  <c r="L100" i="12"/>
  <c r="L86" i="12"/>
  <c r="L96" i="12"/>
  <c r="L95" i="12"/>
  <c r="L94" i="12"/>
  <c r="L93" i="12"/>
  <c r="L92" i="12"/>
  <c r="L91" i="12"/>
  <c r="L90" i="12"/>
  <c r="L89" i="12"/>
  <c r="L88" i="12"/>
  <c r="L87" i="12"/>
  <c r="L97" i="12"/>
  <c r="L55" i="12"/>
  <c r="L54" i="12"/>
  <c r="L41" i="12"/>
  <c r="L40" i="12"/>
  <c r="L39" i="12"/>
  <c r="L38" i="12"/>
  <c r="L37" i="12"/>
  <c r="L36" i="12"/>
  <c r="L35" i="12"/>
  <c r="L34" i="12"/>
  <c r="L32" i="12"/>
  <c r="L31" i="12"/>
  <c r="L30" i="12"/>
  <c r="L29" i="12"/>
  <c r="L13" i="12"/>
  <c r="L12" i="12"/>
  <c r="L10" i="12"/>
  <c r="L9" i="12"/>
  <c r="L14" i="12"/>
  <c r="E97" i="8" l="1"/>
  <c r="N97" i="8" l="1"/>
  <c r="N14" i="8"/>
  <c r="K97" i="11"/>
  <c r="G97" i="11" l="1"/>
  <c r="G14" i="11"/>
  <c r="L97" i="11"/>
  <c r="P97" i="10" l="1"/>
  <c r="P87" i="10"/>
  <c r="F97" i="15"/>
  <c r="F87" i="8" l="1"/>
  <c r="I97" i="11"/>
  <c r="C97" i="16"/>
  <c r="C53" i="16"/>
  <c r="E104" i="11" l="1"/>
  <c r="E97" i="11"/>
  <c r="E88" i="11"/>
  <c r="E87" i="11"/>
  <c r="E14" i="11"/>
  <c r="D104" i="8" l="1"/>
  <c r="D113" i="8" s="1"/>
  <c r="D97" i="8"/>
  <c r="D88" i="8"/>
  <c r="D87" i="8"/>
  <c r="J97" i="11"/>
  <c r="J88" i="11"/>
  <c r="J87" i="11"/>
  <c r="L97" i="8"/>
  <c r="D97" i="15" l="1"/>
  <c r="D90" i="15"/>
  <c r="D88" i="15"/>
  <c r="D87" i="15"/>
  <c r="H97" i="11" l="1"/>
  <c r="H14" i="11"/>
  <c r="I97" i="10" l="1"/>
  <c r="I14" i="10"/>
  <c r="J104" i="10" l="1"/>
  <c r="J97" i="10" l="1"/>
  <c r="J87" i="10"/>
  <c r="C97" i="9"/>
  <c r="K97" i="10" l="1"/>
  <c r="I97" i="12" l="1"/>
  <c r="D97" i="13" l="1"/>
  <c r="H97" i="9" l="1"/>
  <c r="H14" i="9"/>
  <c r="M104" i="11" l="1"/>
  <c r="M97" i="11"/>
  <c r="I97" i="8" l="1"/>
  <c r="I14" i="8"/>
  <c r="F141" i="16" l="1"/>
  <c r="F114" i="16"/>
  <c r="F100" i="16"/>
  <c r="F97" i="16"/>
  <c r="J97" i="8" l="1"/>
  <c r="F97" i="12" l="1"/>
  <c r="H97" i="8" l="1"/>
  <c r="J97" i="12" l="1"/>
  <c r="E97" i="15"/>
  <c r="E97" i="9" l="1"/>
  <c r="E88" i="9"/>
  <c r="E87" i="9"/>
  <c r="E14" i="9"/>
  <c r="G97" i="12"/>
  <c r="G51" i="12"/>
  <c r="G52" i="12" s="1"/>
  <c r="C97" i="11" l="1"/>
  <c r="C14" i="11"/>
  <c r="D97" i="12"/>
  <c r="H97" i="12" l="1"/>
  <c r="M97" i="10"/>
  <c r="M14" i="10"/>
  <c r="N97" i="11" l="1"/>
  <c r="N97" i="10"/>
  <c r="O97" i="10" l="1"/>
  <c r="C145" i="10" l="1"/>
  <c r="C104" i="10"/>
  <c r="C97" i="10"/>
  <c r="C31" i="10"/>
  <c r="C32" i="10"/>
  <c r="C14" i="10"/>
  <c r="K97" i="9" l="1"/>
  <c r="H97" i="10"/>
  <c r="F97" i="11" l="1"/>
  <c r="D97" i="9" l="1"/>
  <c r="D14" i="9"/>
  <c r="E104" i="13" l="1"/>
  <c r="E97" i="13"/>
  <c r="E88" i="13"/>
  <c r="D97" i="11"/>
  <c r="D14" i="11"/>
  <c r="G97" i="13"/>
  <c r="G114" i="15"/>
  <c r="G100" i="15"/>
  <c r="G97" i="15"/>
  <c r="F97" i="14"/>
  <c r="C97" i="15"/>
  <c r="F97" i="9"/>
  <c r="F31" i="9"/>
  <c r="F32" i="9"/>
  <c r="K97" i="8" l="1"/>
  <c r="M97" i="8"/>
  <c r="E97" i="12" l="1"/>
  <c r="E42" i="12"/>
  <c r="E52" i="12" s="1"/>
  <c r="E21" i="12"/>
  <c r="E32" i="12" s="1"/>
  <c r="E14" i="12"/>
  <c r="R122" i="11" l="1"/>
  <c r="O97" i="11"/>
  <c r="O14" i="11"/>
  <c r="L97" i="10" l="1"/>
  <c r="L32" i="10"/>
  <c r="D97" i="14" l="1"/>
  <c r="I97" i="9" l="1"/>
  <c r="J97" i="9" l="1"/>
  <c r="D97" i="10" l="1"/>
  <c r="D14" i="10"/>
  <c r="H97" i="13" l="1"/>
  <c r="C97" i="12" l="1"/>
  <c r="M86" i="9" l="1"/>
  <c r="M87" i="9"/>
  <c r="M88" i="9"/>
  <c r="M89" i="9"/>
  <c r="M90" i="9"/>
  <c r="M91" i="9"/>
  <c r="M92" i="9"/>
  <c r="M93" i="9"/>
  <c r="M94" i="9"/>
  <c r="M95" i="9"/>
  <c r="M96" i="9"/>
  <c r="M97" i="9"/>
  <c r="G131" i="10" l="1"/>
  <c r="G129" i="10"/>
  <c r="G121" i="10"/>
  <c r="G120" i="10"/>
  <c r="G119" i="10"/>
  <c r="G118" i="10"/>
  <c r="G115" i="10"/>
  <c r="G99" i="10"/>
  <c r="G101" i="10" s="1"/>
  <c r="G82" i="10"/>
  <c r="G68" i="10"/>
  <c r="G52" i="10"/>
  <c r="G69" i="10" s="1"/>
  <c r="G32" i="10"/>
  <c r="G10" i="10"/>
  <c r="G123" i="10" l="1"/>
  <c r="G136" i="10" s="1"/>
  <c r="G134" i="10"/>
  <c r="G124" i="10"/>
  <c r="G125" i="10" s="1"/>
  <c r="G71" i="10"/>
  <c r="G57" i="10"/>
  <c r="G127" i="10" s="1"/>
  <c r="G138" i="10" l="1"/>
  <c r="I10" i="9" l="1"/>
  <c r="J131" i="9" l="1"/>
  <c r="J129" i="9"/>
  <c r="J99" i="9"/>
  <c r="J10" i="9"/>
  <c r="M122" i="9" l="1"/>
  <c r="O131" i="11" l="1"/>
  <c r="O129" i="11"/>
  <c r="O99" i="11"/>
  <c r="O101" i="11" s="1"/>
  <c r="O68" i="11"/>
  <c r="O52" i="11"/>
  <c r="O69" i="11" s="1"/>
  <c r="O32" i="11"/>
  <c r="O10" i="11"/>
  <c r="O57" i="11" l="1"/>
  <c r="O127" i="11" s="1"/>
  <c r="J68" i="9"/>
  <c r="J52" i="9"/>
  <c r="J69" i="9" s="1"/>
  <c r="J32" i="9"/>
  <c r="J57" i="9" l="1"/>
  <c r="J127" i="9" s="1"/>
  <c r="I9" i="16" l="1"/>
  <c r="I55" i="16" l="1"/>
  <c r="I55" i="15"/>
  <c r="H55" i="14"/>
  <c r="J55" i="13"/>
  <c r="R55" i="11"/>
  <c r="R55" i="10"/>
  <c r="M55" i="9"/>
  <c r="M54" i="9"/>
  <c r="Q55" i="8"/>
  <c r="E131" i="14" l="1"/>
  <c r="E129" i="14"/>
  <c r="E121" i="14"/>
  <c r="E120" i="14"/>
  <c r="E119" i="14"/>
  <c r="E118" i="14"/>
  <c r="E68" i="14"/>
  <c r="E52" i="14"/>
  <c r="E32" i="14"/>
  <c r="E10" i="14"/>
  <c r="D52" i="15"/>
  <c r="D32" i="15"/>
  <c r="I12" i="20" l="1"/>
  <c r="I10" i="20"/>
  <c r="E70" i="14"/>
  <c r="I11" i="20"/>
  <c r="I9" i="20"/>
  <c r="E62" i="14"/>
  <c r="E59" i="14"/>
  <c r="E58" i="14"/>
  <c r="G58" i="14" s="1"/>
  <c r="E61" i="14"/>
  <c r="G61" i="14" s="1"/>
  <c r="E60" i="14"/>
  <c r="E69" i="14"/>
  <c r="I5" i="20" s="1"/>
  <c r="I114" i="16"/>
  <c r="I100" i="16"/>
  <c r="I114" i="15"/>
  <c r="I100" i="15"/>
  <c r="H114" i="14"/>
  <c r="H100" i="14"/>
  <c r="J114" i="13"/>
  <c r="J100" i="13"/>
  <c r="R114" i="11"/>
  <c r="R100" i="11"/>
  <c r="R100" i="10"/>
  <c r="Q114" i="8"/>
  <c r="M100" i="9"/>
  <c r="M114" i="9"/>
  <c r="R114" i="10"/>
  <c r="I91" i="16" l="1"/>
  <c r="M117" i="9"/>
  <c r="M111" i="9"/>
  <c r="M110" i="9"/>
  <c r="M109" i="9"/>
  <c r="M108" i="9"/>
  <c r="M107" i="9"/>
  <c r="M106" i="9"/>
  <c r="M105" i="9"/>
  <c r="M104" i="9"/>
  <c r="M103" i="9"/>
  <c r="J131" i="12" l="1"/>
  <c r="J129" i="12"/>
  <c r="J121" i="12"/>
  <c r="J120" i="12"/>
  <c r="J119" i="12"/>
  <c r="J118" i="12"/>
  <c r="J115" i="12"/>
  <c r="J99" i="12"/>
  <c r="J101" i="12" s="1"/>
  <c r="J82" i="12"/>
  <c r="J68" i="12"/>
  <c r="J52" i="12"/>
  <c r="J69" i="12" s="1"/>
  <c r="J32" i="12"/>
  <c r="J10" i="12"/>
  <c r="J123" i="12" l="1"/>
  <c r="J138" i="12" s="1"/>
  <c r="J71" i="12"/>
  <c r="J124" i="12"/>
  <c r="J125" i="12" s="1"/>
  <c r="J134" i="12"/>
  <c r="J57" i="12"/>
  <c r="J127" i="12" s="1"/>
  <c r="J136" i="12" l="1"/>
  <c r="D82" i="16"/>
  <c r="G82" i="16"/>
  <c r="F82" i="16"/>
  <c r="G131" i="16"/>
  <c r="G129" i="16"/>
  <c r="G121" i="16"/>
  <c r="G120" i="16"/>
  <c r="G119" i="16"/>
  <c r="G118" i="16"/>
  <c r="G115" i="16"/>
  <c r="G99" i="16"/>
  <c r="G101" i="16" s="1"/>
  <c r="G68" i="16"/>
  <c r="G52" i="16"/>
  <c r="G69" i="16" s="1"/>
  <c r="G32" i="16"/>
  <c r="G10" i="16"/>
  <c r="G123" i="16" l="1"/>
  <c r="G138" i="16" s="1"/>
  <c r="G57" i="16"/>
  <c r="G127" i="16" s="1"/>
  <c r="G124" i="16"/>
  <c r="G125" i="16" s="1"/>
  <c r="G134" i="16"/>
  <c r="G136" i="16" l="1"/>
  <c r="I111" i="15" l="1"/>
  <c r="J111" i="13" l="1"/>
  <c r="G10" i="13"/>
  <c r="G99" i="11" l="1"/>
  <c r="G101" i="11" s="1"/>
  <c r="G131" i="11"/>
  <c r="G129" i="11"/>
  <c r="G121" i="11"/>
  <c r="G120" i="11"/>
  <c r="G119" i="11"/>
  <c r="G118" i="11"/>
  <c r="G115" i="11"/>
  <c r="G68" i="11"/>
  <c r="G52" i="11"/>
  <c r="G69" i="11" s="1"/>
  <c r="G32" i="11"/>
  <c r="G10" i="11"/>
  <c r="G123" i="11" l="1"/>
  <c r="G138" i="11" s="1"/>
  <c r="G57" i="11"/>
  <c r="G127" i="11" s="1"/>
  <c r="G134" i="11"/>
  <c r="G124" i="11"/>
  <c r="G125" i="11" s="1"/>
  <c r="H111" i="14"/>
  <c r="H96" i="14"/>
  <c r="H95" i="14"/>
  <c r="H94" i="14"/>
  <c r="H93" i="14"/>
  <c r="H92" i="14"/>
  <c r="H91" i="14"/>
  <c r="G136" i="11" l="1"/>
  <c r="E52" i="10"/>
  <c r="J115" i="9" l="1"/>
  <c r="I111" i="16" l="1"/>
  <c r="F10" i="16"/>
  <c r="E10" i="16"/>
  <c r="D10" i="16"/>
  <c r="C10" i="16"/>
  <c r="R111" i="11" l="1"/>
  <c r="C68" i="13" l="1"/>
  <c r="D68" i="13"/>
  <c r="E68" i="13"/>
  <c r="F68" i="13"/>
  <c r="G68" i="13"/>
  <c r="H68" i="13"/>
  <c r="R111" i="10" l="1"/>
  <c r="F121" i="16" l="1"/>
  <c r="E121" i="16"/>
  <c r="D121" i="16"/>
  <c r="C121" i="16"/>
  <c r="F120" i="16"/>
  <c r="E120" i="16"/>
  <c r="D120" i="16"/>
  <c r="C120" i="16"/>
  <c r="F119" i="16"/>
  <c r="E119" i="16"/>
  <c r="D119" i="16"/>
  <c r="C119" i="16"/>
  <c r="F118" i="16"/>
  <c r="E118" i="16"/>
  <c r="D118" i="16"/>
  <c r="C118" i="16"/>
  <c r="G121" i="15"/>
  <c r="F121" i="15"/>
  <c r="E121" i="15"/>
  <c r="D121" i="15"/>
  <c r="C121" i="15"/>
  <c r="G120" i="15"/>
  <c r="F120" i="15"/>
  <c r="E120" i="15"/>
  <c r="D120" i="15"/>
  <c r="C120" i="15"/>
  <c r="G119" i="15"/>
  <c r="F119" i="15"/>
  <c r="E119" i="15"/>
  <c r="D119" i="15"/>
  <c r="C119" i="15"/>
  <c r="G118" i="15"/>
  <c r="F118" i="15"/>
  <c r="E118" i="15"/>
  <c r="D118" i="15"/>
  <c r="C118" i="15"/>
  <c r="F121" i="14"/>
  <c r="F120" i="14"/>
  <c r="F119" i="14"/>
  <c r="F118" i="14"/>
  <c r="D121" i="14"/>
  <c r="D120" i="14"/>
  <c r="D119" i="14"/>
  <c r="D118" i="14"/>
  <c r="C121" i="14"/>
  <c r="C120" i="14"/>
  <c r="C119" i="14"/>
  <c r="H119" i="14" s="1"/>
  <c r="C118" i="14"/>
  <c r="H121" i="13"/>
  <c r="G121" i="13"/>
  <c r="F121" i="13"/>
  <c r="E121" i="13"/>
  <c r="D121" i="13"/>
  <c r="H120" i="13"/>
  <c r="G120" i="13"/>
  <c r="F120" i="13"/>
  <c r="E120" i="13"/>
  <c r="D120" i="13"/>
  <c r="H119" i="13"/>
  <c r="G119" i="13"/>
  <c r="F119" i="13"/>
  <c r="E119" i="13"/>
  <c r="D119" i="13"/>
  <c r="H118" i="13"/>
  <c r="G118" i="13"/>
  <c r="F118" i="13"/>
  <c r="E118" i="13"/>
  <c r="D118" i="13"/>
  <c r="C121" i="13"/>
  <c r="C120" i="13"/>
  <c r="C119" i="13"/>
  <c r="C118" i="13"/>
  <c r="I121" i="12"/>
  <c r="H121" i="12"/>
  <c r="G121" i="12"/>
  <c r="F121" i="12"/>
  <c r="E121" i="12"/>
  <c r="D121" i="12"/>
  <c r="I120" i="12"/>
  <c r="H120" i="12"/>
  <c r="G120" i="12"/>
  <c r="F120" i="12"/>
  <c r="E120" i="12"/>
  <c r="D120" i="12"/>
  <c r="I119" i="12"/>
  <c r="H119" i="12"/>
  <c r="G119" i="12"/>
  <c r="F119" i="12"/>
  <c r="E119" i="12"/>
  <c r="D119" i="12"/>
  <c r="I118" i="12"/>
  <c r="H118" i="12"/>
  <c r="G118" i="12"/>
  <c r="F118" i="12"/>
  <c r="E118" i="12"/>
  <c r="D118" i="12"/>
  <c r="C121" i="12"/>
  <c r="C120" i="12"/>
  <c r="C119" i="12"/>
  <c r="C118" i="12"/>
  <c r="P121" i="11"/>
  <c r="O121" i="11"/>
  <c r="N121" i="11"/>
  <c r="M121" i="11"/>
  <c r="L121" i="11"/>
  <c r="K121" i="11"/>
  <c r="J121" i="11"/>
  <c r="I121" i="11"/>
  <c r="H121" i="11"/>
  <c r="F121" i="11"/>
  <c r="E121" i="11"/>
  <c r="D121" i="11"/>
  <c r="P120" i="11"/>
  <c r="O120" i="11"/>
  <c r="N120" i="11"/>
  <c r="M120" i="11"/>
  <c r="L120" i="11"/>
  <c r="K120" i="11"/>
  <c r="J120" i="11"/>
  <c r="I120" i="11"/>
  <c r="H120" i="11"/>
  <c r="F120" i="11"/>
  <c r="E120" i="11"/>
  <c r="D120" i="11"/>
  <c r="P119" i="11"/>
  <c r="O119" i="11"/>
  <c r="N119" i="11"/>
  <c r="M119" i="11"/>
  <c r="L119" i="11"/>
  <c r="K119" i="11"/>
  <c r="J119" i="11"/>
  <c r="I119" i="11"/>
  <c r="H119" i="11"/>
  <c r="F119" i="11"/>
  <c r="E119" i="11"/>
  <c r="D119" i="11"/>
  <c r="P118" i="11"/>
  <c r="O118" i="11"/>
  <c r="N118" i="11"/>
  <c r="M118" i="11"/>
  <c r="L118" i="11"/>
  <c r="K118" i="11"/>
  <c r="J118" i="11"/>
  <c r="I118" i="11"/>
  <c r="H118" i="11"/>
  <c r="F118" i="11"/>
  <c r="E118" i="11"/>
  <c r="D118" i="11"/>
  <c r="C121" i="11"/>
  <c r="C120" i="11"/>
  <c r="C119" i="11"/>
  <c r="C118" i="11"/>
  <c r="P119" i="10"/>
  <c r="O119" i="10"/>
  <c r="N119" i="10"/>
  <c r="M119" i="10"/>
  <c r="L119" i="10"/>
  <c r="K119" i="10"/>
  <c r="J119" i="10"/>
  <c r="I119" i="10"/>
  <c r="H119" i="10"/>
  <c r="F119" i="10"/>
  <c r="E119" i="10"/>
  <c r="D119" i="10"/>
  <c r="C119" i="10"/>
  <c r="K121" i="9"/>
  <c r="J121" i="9"/>
  <c r="I121" i="9"/>
  <c r="H121" i="9"/>
  <c r="G121" i="9"/>
  <c r="F121" i="9"/>
  <c r="E121" i="9"/>
  <c r="D121" i="9"/>
  <c r="K120" i="9"/>
  <c r="J120" i="9"/>
  <c r="I120" i="9"/>
  <c r="H120" i="9"/>
  <c r="G120" i="9"/>
  <c r="F120" i="9"/>
  <c r="E120" i="9"/>
  <c r="D120" i="9"/>
  <c r="K119" i="9"/>
  <c r="J119" i="9"/>
  <c r="I119" i="9"/>
  <c r="H119" i="9"/>
  <c r="G119" i="9"/>
  <c r="F119" i="9"/>
  <c r="E119" i="9"/>
  <c r="D119" i="9"/>
  <c r="K118" i="9"/>
  <c r="J118" i="9"/>
  <c r="I118" i="9"/>
  <c r="H118" i="9"/>
  <c r="G118" i="9"/>
  <c r="F118" i="9"/>
  <c r="E118" i="9"/>
  <c r="D118" i="9"/>
  <c r="C121" i="9"/>
  <c r="C120" i="9"/>
  <c r="C119" i="9"/>
  <c r="C118" i="9"/>
  <c r="N119" i="8"/>
  <c r="M119" i="8"/>
  <c r="L119" i="8"/>
  <c r="K119" i="8"/>
  <c r="J119" i="8"/>
  <c r="I119" i="8"/>
  <c r="H119" i="8"/>
  <c r="G119" i="8"/>
  <c r="F119" i="8"/>
  <c r="E119" i="8"/>
  <c r="D119" i="8"/>
  <c r="C119" i="8"/>
  <c r="J123" i="9" l="1"/>
  <c r="J124" i="9"/>
  <c r="L118" i="12"/>
  <c r="L119" i="12"/>
  <c r="L120" i="12"/>
  <c r="L121" i="12"/>
  <c r="O123" i="11"/>
  <c r="J119" i="13"/>
  <c r="I119" i="15"/>
  <c r="I119" i="16"/>
  <c r="R119" i="11"/>
  <c r="Q119" i="8"/>
  <c r="M118" i="9"/>
  <c r="M119" i="9"/>
  <c r="R119" i="10"/>
  <c r="N121" i="8"/>
  <c r="M121" i="8"/>
  <c r="L121" i="8"/>
  <c r="K121" i="8"/>
  <c r="J121" i="8"/>
  <c r="I121" i="8"/>
  <c r="H121" i="8"/>
  <c r="N120" i="8"/>
  <c r="M120" i="8"/>
  <c r="L120" i="8"/>
  <c r="K120" i="8"/>
  <c r="J120" i="8"/>
  <c r="I120" i="8"/>
  <c r="H120" i="8"/>
  <c r="N118" i="8"/>
  <c r="M118" i="8"/>
  <c r="L118" i="8"/>
  <c r="K118" i="8"/>
  <c r="J118" i="8"/>
  <c r="I118" i="8"/>
  <c r="H118" i="8"/>
  <c r="F121" i="8"/>
  <c r="E121" i="8"/>
  <c r="D121" i="8"/>
  <c r="C121" i="8"/>
  <c r="F120" i="8"/>
  <c r="E120" i="8"/>
  <c r="D120" i="8"/>
  <c r="C120" i="8"/>
  <c r="F118" i="8"/>
  <c r="E118" i="8"/>
  <c r="D118" i="8"/>
  <c r="C118" i="8"/>
  <c r="G121" i="8"/>
  <c r="G120" i="8"/>
  <c r="G118" i="8"/>
  <c r="Q111" i="8"/>
  <c r="J138" i="9" l="1"/>
  <c r="O136" i="11"/>
  <c r="P121" i="10"/>
  <c r="O121" i="10"/>
  <c r="N121" i="10"/>
  <c r="M121" i="10"/>
  <c r="L121" i="10"/>
  <c r="K121" i="10"/>
  <c r="J121" i="10"/>
  <c r="I121" i="10"/>
  <c r="H121" i="10"/>
  <c r="F121" i="10"/>
  <c r="E121" i="10"/>
  <c r="D121" i="10"/>
  <c r="P120" i="10"/>
  <c r="O120" i="10"/>
  <c r="N120" i="10"/>
  <c r="M120" i="10"/>
  <c r="L120" i="10"/>
  <c r="K120" i="10"/>
  <c r="J120" i="10"/>
  <c r="I120" i="10"/>
  <c r="H120" i="10"/>
  <c r="F120" i="10"/>
  <c r="E120" i="10"/>
  <c r="D120" i="10"/>
  <c r="P118" i="10"/>
  <c r="O118" i="10"/>
  <c r="N118" i="10"/>
  <c r="M118" i="10"/>
  <c r="M123" i="10" s="1"/>
  <c r="L118" i="10"/>
  <c r="K118" i="10"/>
  <c r="J118" i="10"/>
  <c r="I118" i="10"/>
  <c r="H118" i="10"/>
  <c r="F118" i="10"/>
  <c r="E118" i="10"/>
  <c r="E123" i="10" s="1"/>
  <c r="D118" i="10"/>
  <c r="C121" i="10"/>
  <c r="C120" i="10"/>
  <c r="C118" i="10"/>
  <c r="L123" i="10" l="1"/>
  <c r="K123" i="10"/>
  <c r="D123" i="10"/>
  <c r="O123" i="10"/>
  <c r="F123" i="10"/>
  <c r="H123" i="10"/>
  <c r="C123" i="10"/>
  <c r="I123" i="10"/>
  <c r="N123" i="10"/>
  <c r="P123" i="10"/>
  <c r="J123" i="10"/>
  <c r="F123" i="16"/>
  <c r="E123" i="16"/>
  <c r="D123" i="16"/>
  <c r="F115" i="16"/>
  <c r="F124" i="16" s="1"/>
  <c r="E115" i="16"/>
  <c r="E124" i="16" s="1"/>
  <c r="D115" i="16"/>
  <c r="D124" i="16" s="1"/>
  <c r="F99" i="16"/>
  <c r="F101" i="16" s="1"/>
  <c r="E99" i="16"/>
  <c r="E101" i="16" s="1"/>
  <c r="D99" i="16"/>
  <c r="D101" i="16" s="1"/>
  <c r="C123" i="16"/>
  <c r="C99" i="16"/>
  <c r="C68" i="16"/>
  <c r="G115" i="15"/>
  <c r="F115" i="15"/>
  <c r="E115" i="15"/>
  <c r="G99" i="15"/>
  <c r="G101" i="15" s="1"/>
  <c r="F99" i="15"/>
  <c r="F101" i="15" s="1"/>
  <c r="E99" i="15"/>
  <c r="E101" i="15" s="1"/>
  <c r="D99" i="15"/>
  <c r="C115" i="15"/>
  <c r="C99" i="15"/>
  <c r="C101" i="15" s="1"/>
  <c r="D57" i="15"/>
  <c r="C68" i="15"/>
  <c r="F123" i="14"/>
  <c r="E123" i="14"/>
  <c r="D123" i="14"/>
  <c r="F115" i="14"/>
  <c r="F124" i="14" s="1"/>
  <c r="D115" i="14"/>
  <c r="D124" i="14" s="1"/>
  <c r="F99" i="14"/>
  <c r="F101" i="14" s="1"/>
  <c r="E99" i="14"/>
  <c r="D99" i="14"/>
  <c r="D101" i="14" s="1"/>
  <c r="C123" i="14"/>
  <c r="C115" i="14"/>
  <c r="C124" i="14" s="1"/>
  <c r="C99" i="14"/>
  <c r="C101" i="14" s="1"/>
  <c r="E57" i="14"/>
  <c r="E127" i="14" s="1"/>
  <c r="C68" i="14"/>
  <c r="H115" i="13"/>
  <c r="G115" i="13"/>
  <c r="F115" i="13"/>
  <c r="E115" i="13"/>
  <c r="H99" i="13"/>
  <c r="H101" i="13" s="1"/>
  <c r="G99" i="13"/>
  <c r="G101" i="13" s="1"/>
  <c r="F99" i="13"/>
  <c r="F101" i="13" s="1"/>
  <c r="E99" i="13"/>
  <c r="E101" i="13" s="1"/>
  <c r="D99" i="13"/>
  <c r="C123" i="13"/>
  <c r="C115" i="13"/>
  <c r="C124" i="13" s="1"/>
  <c r="C99" i="13"/>
  <c r="C101" i="13" s="1"/>
  <c r="I115" i="12"/>
  <c r="H115" i="12"/>
  <c r="G115" i="12"/>
  <c r="F115" i="12"/>
  <c r="E115" i="12"/>
  <c r="D115" i="12"/>
  <c r="I99" i="12"/>
  <c r="I101" i="12" s="1"/>
  <c r="H99" i="12"/>
  <c r="H101" i="12" s="1"/>
  <c r="G99" i="12"/>
  <c r="G101" i="12" s="1"/>
  <c r="F99" i="12"/>
  <c r="F101" i="12" s="1"/>
  <c r="E99" i="12"/>
  <c r="E101" i="12" s="1"/>
  <c r="D99" i="12"/>
  <c r="D101" i="12" s="1"/>
  <c r="C99" i="12"/>
  <c r="P115" i="11"/>
  <c r="O115" i="11"/>
  <c r="N115" i="11"/>
  <c r="M115" i="11"/>
  <c r="L115" i="11"/>
  <c r="K115" i="11"/>
  <c r="J115" i="11"/>
  <c r="I115" i="11"/>
  <c r="H115" i="11"/>
  <c r="F115" i="11"/>
  <c r="E115" i="11"/>
  <c r="D115" i="11"/>
  <c r="P99" i="11"/>
  <c r="P101" i="11" s="1"/>
  <c r="N99" i="11"/>
  <c r="N101" i="11" s="1"/>
  <c r="M99" i="11"/>
  <c r="M101" i="11" s="1"/>
  <c r="L99" i="11"/>
  <c r="L101" i="11" s="1"/>
  <c r="K99" i="11"/>
  <c r="K101" i="11" s="1"/>
  <c r="J99" i="11"/>
  <c r="J101" i="11" s="1"/>
  <c r="I99" i="11"/>
  <c r="I101" i="11" s="1"/>
  <c r="H99" i="11"/>
  <c r="H101" i="11" s="1"/>
  <c r="F99" i="11"/>
  <c r="F101" i="11" s="1"/>
  <c r="E99" i="11"/>
  <c r="E101" i="11" s="1"/>
  <c r="D99" i="11"/>
  <c r="D101" i="11" s="1"/>
  <c r="C99" i="11"/>
  <c r="O71" i="11"/>
  <c r="G71" i="11"/>
  <c r="C52" i="11"/>
  <c r="I115" i="9"/>
  <c r="H115" i="9"/>
  <c r="F115" i="9"/>
  <c r="E115" i="9"/>
  <c r="D115" i="9"/>
  <c r="C115" i="10"/>
  <c r="D115" i="10"/>
  <c r="P115" i="10"/>
  <c r="O115" i="10"/>
  <c r="N115" i="10"/>
  <c r="M115" i="10"/>
  <c r="L115" i="10"/>
  <c r="K115" i="10"/>
  <c r="J115" i="10"/>
  <c r="I115" i="10"/>
  <c r="H115" i="10"/>
  <c r="F115" i="10"/>
  <c r="E115" i="10"/>
  <c r="P99" i="10"/>
  <c r="P101" i="10" s="1"/>
  <c r="O99" i="10"/>
  <c r="O101" i="10" s="1"/>
  <c r="N99" i="10"/>
  <c r="N101" i="10" s="1"/>
  <c r="M99" i="10"/>
  <c r="M101" i="10" s="1"/>
  <c r="L99" i="10"/>
  <c r="L101" i="10" s="1"/>
  <c r="K99" i="10"/>
  <c r="K101" i="10" s="1"/>
  <c r="J99" i="10"/>
  <c r="J101" i="10" s="1"/>
  <c r="I99" i="10"/>
  <c r="I101" i="10" s="1"/>
  <c r="H99" i="10"/>
  <c r="H101" i="10" s="1"/>
  <c r="F99" i="10"/>
  <c r="F101" i="10" s="1"/>
  <c r="E99" i="10"/>
  <c r="E101" i="10" s="1"/>
  <c r="D99" i="10"/>
  <c r="D101" i="10" s="1"/>
  <c r="C99" i="10"/>
  <c r="C101" i="10" s="1"/>
  <c r="K115" i="9"/>
  <c r="J101" i="9"/>
  <c r="E99" i="9"/>
  <c r="E101" i="9" s="1"/>
  <c r="I99" i="9"/>
  <c r="I101" i="9" s="1"/>
  <c r="H99" i="9"/>
  <c r="H101" i="9" s="1"/>
  <c r="G99" i="9"/>
  <c r="G101" i="9" s="1"/>
  <c r="F99" i="9"/>
  <c r="F101" i="9" s="1"/>
  <c r="D99" i="9"/>
  <c r="D101" i="9" s="1"/>
  <c r="K99" i="9"/>
  <c r="K101" i="9" s="1"/>
  <c r="C99" i="9"/>
  <c r="N115" i="8"/>
  <c r="M115" i="8"/>
  <c r="L115" i="8"/>
  <c r="K115" i="8"/>
  <c r="J115" i="8"/>
  <c r="I115" i="8"/>
  <c r="H115" i="8"/>
  <c r="G115" i="8"/>
  <c r="F115" i="8"/>
  <c r="E115" i="8"/>
  <c r="D115" i="8"/>
  <c r="Q100" i="8"/>
  <c r="N99" i="8"/>
  <c r="N101" i="8" s="1"/>
  <c r="M99" i="8"/>
  <c r="M101" i="8" s="1"/>
  <c r="L99" i="8"/>
  <c r="L101" i="8" s="1"/>
  <c r="K99" i="8"/>
  <c r="K101" i="8" s="1"/>
  <c r="J99" i="8"/>
  <c r="J101" i="8" s="1"/>
  <c r="I99" i="8"/>
  <c r="I101" i="8" s="1"/>
  <c r="H99" i="8"/>
  <c r="H101" i="8" s="1"/>
  <c r="G99" i="8"/>
  <c r="G101" i="8" s="1"/>
  <c r="F99" i="8"/>
  <c r="F101" i="8" s="1"/>
  <c r="E99" i="8"/>
  <c r="E101" i="8" s="1"/>
  <c r="D99" i="8"/>
  <c r="D101" i="8" s="1"/>
  <c r="C99" i="8"/>
  <c r="C101" i="8" s="1"/>
  <c r="D68" i="14"/>
  <c r="F68" i="14"/>
  <c r="N68" i="8"/>
  <c r="M68" i="8"/>
  <c r="L68" i="8"/>
  <c r="K68" i="8"/>
  <c r="J68" i="8"/>
  <c r="I68" i="8"/>
  <c r="H68" i="8"/>
  <c r="G68" i="8"/>
  <c r="F68" i="8"/>
  <c r="E68" i="8"/>
  <c r="D68" i="8"/>
  <c r="C68" i="8"/>
  <c r="C68" i="9"/>
  <c r="D68" i="9"/>
  <c r="E68" i="9"/>
  <c r="F68" i="9"/>
  <c r="G68" i="9"/>
  <c r="H68" i="9"/>
  <c r="I68" i="9"/>
  <c r="K68" i="9"/>
  <c r="J125" i="9" l="1"/>
  <c r="J134" i="9"/>
  <c r="J136" i="9"/>
  <c r="O134" i="11"/>
  <c r="O124" i="11"/>
  <c r="O125" i="11" s="1"/>
  <c r="O138" i="11"/>
  <c r="M113" i="9"/>
  <c r="C115" i="8"/>
  <c r="Q113" i="8"/>
  <c r="C115" i="16"/>
  <c r="C124" i="16" s="1"/>
  <c r="I113" i="16"/>
  <c r="H99" i="14"/>
  <c r="C101" i="11"/>
  <c r="R99" i="11"/>
  <c r="C115" i="9"/>
  <c r="C115" i="11"/>
  <c r="R113" i="11"/>
  <c r="C101" i="12"/>
  <c r="L99" i="12"/>
  <c r="H113" i="14"/>
  <c r="C101" i="9"/>
  <c r="M99" i="9"/>
  <c r="C101" i="16"/>
  <c r="I99" i="16"/>
  <c r="C115" i="12"/>
  <c r="L115" i="12" s="1"/>
  <c r="L113" i="12"/>
  <c r="J99" i="13"/>
  <c r="D115" i="13"/>
  <c r="J113" i="13"/>
  <c r="D101" i="13"/>
  <c r="R113" i="10"/>
  <c r="R99" i="10"/>
  <c r="E115" i="14"/>
  <c r="E124" i="14" s="1"/>
  <c r="E101" i="14"/>
  <c r="D115" i="15"/>
  <c r="I113" i="15"/>
  <c r="D101" i="15"/>
  <c r="I99" i="15"/>
  <c r="F125" i="14"/>
  <c r="Q99" i="8"/>
  <c r="N131" i="10"/>
  <c r="N129" i="10"/>
  <c r="N124" i="10"/>
  <c r="N68" i="10"/>
  <c r="N52" i="10"/>
  <c r="N69" i="10" s="1"/>
  <c r="N32" i="10"/>
  <c r="N10" i="10"/>
  <c r="E138" i="14" l="1"/>
  <c r="E136" i="14"/>
  <c r="E125" i="14"/>
  <c r="E134" i="14"/>
  <c r="N57" i="10"/>
  <c r="N127" i="10" s="1"/>
  <c r="N134" i="10"/>
  <c r="N138" i="10"/>
  <c r="N136" i="10"/>
  <c r="J131" i="8"/>
  <c r="J129" i="8"/>
  <c r="J52" i="8"/>
  <c r="J69" i="8" s="1"/>
  <c r="J32" i="8"/>
  <c r="J10" i="8"/>
  <c r="J70" i="8" s="1"/>
  <c r="J62" i="8" l="1"/>
  <c r="J59" i="8"/>
  <c r="J60" i="8"/>
  <c r="J57" i="8"/>
  <c r="J127" i="8" s="1"/>
  <c r="J134" i="8"/>
  <c r="J124" i="8"/>
  <c r="J125" i="8" s="1"/>
  <c r="J123" i="8"/>
  <c r="J138" i="8" l="1"/>
  <c r="J136" i="8"/>
  <c r="F131" i="14"/>
  <c r="F129" i="14"/>
  <c r="F52" i="14"/>
  <c r="F69" i="14" s="1"/>
  <c r="F32" i="14"/>
  <c r="F10" i="14"/>
  <c r="F57" i="14" l="1"/>
  <c r="F136" i="14"/>
  <c r="F138" i="14"/>
  <c r="F134" i="14"/>
  <c r="O82" i="11"/>
  <c r="G82" i="11"/>
  <c r="F127" i="14" l="1"/>
  <c r="E71" i="14"/>
  <c r="F131" i="16" l="1"/>
  <c r="E131" i="16"/>
  <c r="D131" i="16"/>
  <c r="C131" i="16"/>
  <c r="F129" i="16"/>
  <c r="E129" i="16"/>
  <c r="D129" i="16"/>
  <c r="C129" i="16"/>
  <c r="G131" i="15"/>
  <c r="F131" i="15"/>
  <c r="E131" i="15"/>
  <c r="D131" i="15"/>
  <c r="C131" i="15"/>
  <c r="G129" i="15"/>
  <c r="F129" i="15"/>
  <c r="E129" i="15"/>
  <c r="D129" i="15"/>
  <c r="C129" i="15"/>
  <c r="D131" i="14"/>
  <c r="C131" i="14"/>
  <c r="D129" i="14"/>
  <c r="C129" i="14"/>
  <c r="H131" i="13"/>
  <c r="G131" i="13"/>
  <c r="F131" i="13"/>
  <c r="E131" i="13"/>
  <c r="D131" i="13"/>
  <c r="C131" i="13"/>
  <c r="H129" i="13"/>
  <c r="G129" i="13"/>
  <c r="F129" i="13"/>
  <c r="E129" i="13"/>
  <c r="D129" i="13"/>
  <c r="C129" i="13"/>
  <c r="I131" i="12"/>
  <c r="H131" i="12"/>
  <c r="G131" i="12"/>
  <c r="F131" i="12"/>
  <c r="E131" i="12"/>
  <c r="D131" i="12"/>
  <c r="C131" i="12"/>
  <c r="I129" i="12"/>
  <c r="H129" i="12"/>
  <c r="G129" i="12"/>
  <c r="F129" i="12"/>
  <c r="E129" i="12"/>
  <c r="D129" i="12"/>
  <c r="C129" i="12"/>
  <c r="P131" i="11"/>
  <c r="N131" i="11"/>
  <c r="M131" i="11"/>
  <c r="L131" i="11"/>
  <c r="K131" i="11"/>
  <c r="J131" i="11"/>
  <c r="I131" i="11"/>
  <c r="H131" i="11"/>
  <c r="F131" i="11"/>
  <c r="E131" i="11"/>
  <c r="D131" i="11"/>
  <c r="C131" i="11"/>
  <c r="P129" i="11"/>
  <c r="N129" i="11"/>
  <c r="M129" i="11"/>
  <c r="L129" i="11"/>
  <c r="K129" i="11"/>
  <c r="J129" i="11"/>
  <c r="I129" i="11"/>
  <c r="H129" i="11"/>
  <c r="F129" i="11"/>
  <c r="E129" i="11"/>
  <c r="D129" i="11"/>
  <c r="C129" i="11"/>
  <c r="P131" i="10"/>
  <c r="O131" i="10"/>
  <c r="M131" i="10"/>
  <c r="L131" i="10"/>
  <c r="K131" i="10"/>
  <c r="J131" i="10"/>
  <c r="I131" i="10"/>
  <c r="H131" i="10"/>
  <c r="F131" i="10"/>
  <c r="E131" i="10"/>
  <c r="D131" i="10"/>
  <c r="C131" i="10"/>
  <c r="P129" i="10"/>
  <c r="O129" i="10"/>
  <c r="M129" i="10"/>
  <c r="L129" i="10"/>
  <c r="K129" i="10"/>
  <c r="J129" i="10"/>
  <c r="I129" i="10"/>
  <c r="H129" i="10"/>
  <c r="F129" i="10"/>
  <c r="E129" i="10"/>
  <c r="D129" i="10"/>
  <c r="C129" i="10"/>
  <c r="K131" i="9"/>
  <c r="I131" i="9"/>
  <c r="H131" i="9"/>
  <c r="G131" i="9"/>
  <c r="F131" i="9"/>
  <c r="E131" i="9"/>
  <c r="D131" i="9"/>
  <c r="C131" i="9"/>
  <c r="K129" i="9"/>
  <c r="I129" i="9"/>
  <c r="H129" i="9"/>
  <c r="G129" i="9"/>
  <c r="F129" i="9"/>
  <c r="E129" i="9"/>
  <c r="D129" i="9"/>
  <c r="C129" i="9"/>
  <c r="N131" i="8"/>
  <c r="M131" i="8"/>
  <c r="L131" i="8"/>
  <c r="K131" i="8"/>
  <c r="H131" i="8"/>
  <c r="G131" i="8"/>
  <c r="N129" i="8"/>
  <c r="M129" i="8"/>
  <c r="L129" i="8"/>
  <c r="K129" i="8"/>
  <c r="H129" i="8"/>
  <c r="G129" i="8"/>
  <c r="C129" i="8"/>
  <c r="C131" i="8"/>
  <c r="E129" i="8"/>
  <c r="E131" i="8"/>
  <c r="R122" i="10" l="1"/>
  <c r="J21" i="1"/>
  <c r="I21" i="1"/>
  <c r="H21" i="1"/>
  <c r="G21" i="1"/>
  <c r="F21" i="1"/>
  <c r="E21" i="1"/>
  <c r="D21" i="1"/>
  <c r="C21" i="1"/>
  <c r="B21" i="1"/>
  <c r="Q96" i="8" l="1"/>
  <c r="R96" i="10"/>
  <c r="R96" i="11"/>
  <c r="J96" i="13"/>
  <c r="I96" i="16"/>
  <c r="D82" i="15" l="1"/>
  <c r="E10" i="1" l="1"/>
  <c r="E8" i="1"/>
  <c r="E6" i="1"/>
  <c r="D8" i="1"/>
  <c r="J25" i="1"/>
  <c r="J24" i="1"/>
  <c r="J23" i="1"/>
  <c r="I25" i="1"/>
  <c r="I24" i="1"/>
  <c r="I23" i="1"/>
  <c r="H25" i="1"/>
  <c r="H24" i="1"/>
  <c r="H23" i="1"/>
  <c r="G25" i="1"/>
  <c r="G24" i="1"/>
  <c r="G23" i="1"/>
  <c r="F25" i="1"/>
  <c r="F24" i="1"/>
  <c r="F23" i="1"/>
  <c r="E25" i="1"/>
  <c r="E24" i="1"/>
  <c r="E23" i="1"/>
  <c r="D25" i="1"/>
  <c r="D24" i="1"/>
  <c r="D23" i="1"/>
  <c r="C25" i="1"/>
  <c r="C24" i="1"/>
  <c r="C23" i="1"/>
  <c r="B25" i="1"/>
  <c r="B24" i="1"/>
  <c r="B23" i="1"/>
  <c r="J22" i="1"/>
  <c r="I22" i="1"/>
  <c r="H22" i="1"/>
  <c r="G22" i="1"/>
  <c r="F22" i="1"/>
  <c r="E22" i="1"/>
  <c r="D22" i="1"/>
  <c r="C22" i="1"/>
  <c r="B22" i="1"/>
  <c r="J10" i="1"/>
  <c r="I10" i="1"/>
  <c r="H10" i="1"/>
  <c r="G10" i="1"/>
  <c r="F10" i="1"/>
  <c r="D10" i="1"/>
  <c r="C10" i="1"/>
  <c r="J8" i="1"/>
  <c r="I8" i="1"/>
  <c r="H8" i="1"/>
  <c r="G8" i="1"/>
  <c r="F8" i="1"/>
  <c r="C8" i="1"/>
  <c r="J6" i="1"/>
  <c r="I6" i="1"/>
  <c r="H6" i="1"/>
  <c r="G6" i="1"/>
  <c r="F6" i="1"/>
  <c r="D6" i="1"/>
  <c r="C6" i="1"/>
  <c r="H145" i="16"/>
  <c r="H144" i="16"/>
  <c r="H143" i="16"/>
  <c r="I122" i="16"/>
  <c r="I117" i="16"/>
  <c r="I116" i="16"/>
  <c r="I110" i="16"/>
  <c r="I109" i="16"/>
  <c r="I108" i="16"/>
  <c r="I107" i="16"/>
  <c r="I106" i="16"/>
  <c r="I105" i="16"/>
  <c r="I104" i="16"/>
  <c r="I103" i="16"/>
  <c r="I95" i="16"/>
  <c r="I94" i="16"/>
  <c r="I93" i="16"/>
  <c r="I92" i="16"/>
  <c r="I90" i="16"/>
  <c r="I89" i="16"/>
  <c r="I88" i="16"/>
  <c r="I87" i="16"/>
  <c r="I86" i="16"/>
  <c r="E82" i="16"/>
  <c r="C82" i="16"/>
  <c r="F68" i="16"/>
  <c r="E68" i="16"/>
  <c r="D68" i="16"/>
  <c r="H68" i="16" s="1"/>
  <c r="H67" i="16"/>
  <c r="H66" i="16"/>
  <c r="H64" i="16"/>
  <c r="I54" i="16"/>
  <c r="F52" i="16"/>
  <c r="F69" i="16" s="1"/>
  <c r="E52" i="16"/>
  <c r="D52" i="16"/>
  <c r="D69" i="16" s="1"/>
  <c r="C52" i="16"/>
  <c r="I35" i="16"/>
  <c r="I34" i="16"/>
  <c r="F32" i="16"/>
  <c r="E32" i="16"/>
  <c r="D32" i="16"/>
  <c r="C32" i="16"/>
  <c r="I31" i="16"/>
  <c r="I30" i="16"/>
  <c r="I29" i="16"/>
  <c r="I14" i="16"/>
  <c r="I13" i="16"/>
  <c r="I12" i="16"/>
  <c r="H145" i="15"/>
  <c r="H144" i="15"/>
  <c r="H143" i="15"/>
  <c r="H141" i="15"/>
  <c r="I122" i="15"/>
  <c r="I117" i="15"/>
  <c r="I116" i="15"/>
  <c r="I110" i="15"/>
  <c r="I109" i="15"/>
  <c r="I108" i="15"/>
  <c r="I107" i="15"/>
  <c r="I106" i="15"/>
  <c r="I105" i="15"/>
  <c r="I104" i="15"/>
  <c r="I103" i="15"/>
  <c r="G134" i="15"/>
  <c r="I96" i="15"/>
  <c r="I95" i="15"/>
  <c r="I94" i="15"/>
  <c r="I93" i="15"/>
  <c r="I92" i="15"/>
  <c r="I91" i="15"/>
  <c r="I90" i="15"/>
  <c r="I89" i="15"/>
  <c r="I88" i="15"/>
  <c r="I87" i="15"/>
  <c r="I86" i="15"/>
  <c r="G82" i="15"/>
  <c r="F82" i="15"/>
  <c r="E82" i="15"/>
  <c r="C82" i="15"/>
  <c r="G68" i="15"/>
  <c r="F68" i="15"/>
  <c r="E68" i="15"/>
  <c r="D68" i="15"/>
  <c r="H67" i="15"/>
  <c r="H66" i="15"/>
  <c r="H64" i="15"/>
  <c r="I54" i="15"/>
  <c r="G52" i="15"/>
  <c r="F52" i="15"/>
  <c r="F69" i="15" s="1"/>
  <c r="E52" i="15"/>
  <c r="E69" i="15" s="1"/>
  <c r="C52" i="15"/>
  <c r="I35" i="15"/>
  <c r="I34" i="15"/>
  <c r="G32" i="15"/>
  <c r="E32" i="15"/>
  <c r="C32" i="15"/>
  <c r="I31" i="15"/>
  <c r="I30" i="15"/>
  <c r="I29" i="15"/>
  <c r="I14" i="15"/>
  <c r="I13" i="15"/>
  <c r="I12" i="15"/>
  <c r="G10" i="15"/>
  <c r="F10" i="15"/>
  <c r="E10" i="15"/>
  <c r="D10" i="15"/>
  <c r="C10" i="15"/>
  <c r="G145" i="14"/>
  <c r="G144" i="14"/>
  <c r="G143" i="14"/>
  <c r="G141" i="14"/>
  <c r="H122" i="14"/>
  <c r="H117" i="14"/>
  <c r="H116" i="14"/>
  <c r="H110" i="14"/>
  <c r="H109" i="14"/>
  <c r="H108" i="14"/>
  <c r="H106" i="14"/>
  <c r="H105" i="14"/>
  <c r="H104" i="14"/>
  <c r="H103" i="14"/>
  <c r="H90" i="14"/>
  <c r="H89" i="14"/>
  <c r="H88" i="14"/>
  <c r="H87" i="14"/>
  <c r="H86" i="14"/>
  <c r="F82" i="14"/>
  <c r="E82" i="14"/>
  <c r="D82" i="14"/>
  <c r="C82" i="14"/>
  <c r="G67" i="14"/>
  <c r="G66" i="14"/>
  <c r="G64" i="14"/>
  <c r="H54" i="14"/>
  <c r="D52" i="14"/>
  <c r="D69" i="14" s="1"/>
  <c r="C52" i="14"/>
  <c r="H35" i="14"/>
  <c r="H34" i="14"/>
  <c r="D32" i="14"/>
  <c r="C32" i="14"/>
  <c r="H31" i="14"/>
  <c r="H30" i="14"/>
  <c r="H29" i="14"/>
  <c r="H14" i="14"/>
  <c r="H13" i="14"/>
  <c r="H12" i="14"/>
  <c r="D10" i="14"/>
  <c r="C10" i="14"/>
  <c r="I145" i="13"/>
  <c r="I144" i="13"/>
  <c r="I143" i="13"/>
  <c r="I141" i="13"/>
  <c r="J122" i="13"/>
  <c r="J117" i="13"/>
  <c r="J116" i="13"/>
  <c r="J110" i="13"/>
  <c r="J109" i="13"/>
  <c r="J108" i="13"/>
  <c r="J107" i="13"/>
  <c r="J106" i="13"/>
  <c r="J105" i="13"/>
  <c r="J104" i="13"/>
  <c r="J103" i="13"/>
  <c r="D134" i="13"/>
  <c r="C134" i="13"/>
  <c r="J95" i="13"/>
  <c r="J94" i="13"/>
  <c r="J93" i="13"/>
  <c r="J92" i="13"/>
  <c r="J91" i="13"/>
  <c r="J90" i="13"/>
  <c r="J89" i="13"/>
  <c r="J88" i="13"/>
  <c r="J87" i="13"/>
  <c r="J86" i="13"/>
  <c r="H82" i="13"/>
  <c r="G82" i="13"/>
  <c r="F82" i="13"/>
  <c r="E82" i="13"/>
  <c r="D82" i="13"/>
  <c r="C82" i="13"/>
  <c r="I68" i="13"/>
  <c r="I67" i="13"/>
  <c r="I64" i="13"/>
  <c r="J54" i="13"/>
  <c r="H52" i="13"/>
  <c r="H69" i="13" s="1"/>
  <c r="G52" i="13"/>
  <c r="G69" i="13" s="1"/>
  <c r="F52" i="13"/>
  <c r="F69" i="13" s="1"/>
  <c r="E52" i="13"/>
  <c r="E69" i="13" s="1"/>
  <c r="D52" i="13"/>
  <c r="D69" i="13" s="1"/>
  <c r="C52" i="13"/>
  <c r="J35" i="13"/>
  <c r="J34" i="13"/>
  <c r="H32" i="13"/>
  <c r="G32" i="13"/>
  <c r="F32" i="13"/>
  <c r="E32" i="13"/>
  <c r="D32" i="13"/>
  <c r="C32" i="13"/>
  <c r="J31" i="13"/>
  <c r="J30" i="13"/>
  <c r="J29" i="13"/>
  <c r="J14" i="13"/>
  <c r="J13" i="13"/>
  <c r="J12" i="13"/>
  <c r="H10" i="13"/>
  <c r="F10" i="13"/>
  <c r="E10" i="13"/>
  <c r="D10" i="13"/>
  <c r="C10" i="13"/>
  <c r="J9" i="13"/>
  <c r="K145" i="12"/>
  <c r="K144" i="12"/>
  <c r="K143" i="12"/>
  <c r="K141" i="12"/>
  <c r="L122" i="12"/>
  <c r="D123" i="12"/>
  <c r="L116" i="12"/>
  <c r="E124" i="12"/>
  <c r="I134" i="12"/>
  <c r="F134" i="12"/>
  <c r="D134" i="12"/>
  <c r="C134" i="12"/>
  <c r="I82" i="12"/>
  <c r="H82" i="12"/>
  <c r="G82" i="12"/>
  <c r="F82" i="12"/>
  <c r="E82" i="12"/>
  <c r="D82" i="12"/>
  <c r="C82" i="12"/>
  <c r="I68" i="12"/>
  <c r="H68" i="12"/>
  <c r="G68" i="12"/>
  <c r="F68" i="12"/>
  <c r="E68" i="12"/>
  <c r="D68" i="12"/>
  <c r="C68" i="12"/>
  <c r="K67" i="12"/>
  <c r="K66" i="12"/>
  <c r="K64" i="12"/>
  <c r="I52" i="12"/>
  <c r="I69" i="12" s="1"/>
  <c r="H52" i="12"/>
  <c r="H69" i="12" s="1"/>
  <c r="F52" i="12"/>
  <c r="D52" i="12"/>
  <c r="D69" i="12" s="1"/>
  <c r="C52" i="12"/>
  <c r="E69" i="12"/>
  <c r="I32" i="12"/>
  <c r="H32" i="12"/>
  <c r="G32" i="12"/>
  <c r="F32" i="12"/>
  <c r="D32" i="12"/>
  <c r="C32" i="12"/>
  <c r="I10" i="12"/>
  <c r="H10" i="12"/>
  <c r="G10" i="12"/>
  <c r="F10" i="12"/>
  <c r="E10" i="12"/>
  <c r="D10" i="12"/>
  <c r="C10" i="12"/>
  <c r="Q145" i="11"/>
  <c r="Q144" i="11"/>
  <c r="Q143" i="11"/>
  <c r="Q141" i="11"/>
  <c r="R117" i="11"/>
  <c r="R116" i="11"/>
  <c r="R109" i="11"/>
  <c r="R108" i="11"/>
  <c r="R107" i="11"/>
  <c r="R106" i="11"/>
  <c r="R105" i="11"/>
  <c r="R103" i="11"/>
  <c r="C134" i="11"/>
  <c r="P134" i="11"/>
  <c r="N134" i="11"/>
  <c r="L134" i="11"/>
  <c r="K134" i="11"/>
  <c r="F134" i="11"/>
  <c r="D134" i="11"/>
  <c r="R93" i="11"/>
  <c r="R92" i="11"/>
  <c r="R91" i="11"/>
  <c r="R90" i="11"/>
  <c r="R89" i="11"/>
  <c r="R86" i="11"/>
  <c r="P82" i="11"/>
  <c r="N82" i="11"/>
  <c r="M82" i="11"/>
  <c r="L82" i="11"/>
  <c r="K82" i="11"/>
  <c r="J82" i="11"/>
  <c r="I82" i="11"/>
  <c r="H82" i="11"/>
  <c r="F82" i="11"/>
  <c r="E82" i="11"/>
  <c r="D82" i="11"/>
  <c r="C82" i="11"/>
  <c r="P68" i="11"/>
  <c r="N68" i="11"/>
  <c r="M68" i="11"/>
  <c r="L68" i="11"/>
  <c r="K68" i="11"/>
  <c r="J68" i="11"/>
  <c r="I68" i="11"/>
  <c r="H68" i="11"/>
  <c r="F68" i="11"/>
  <c r="E68" i="11"/>
  <c r="D68" i="11"/>
  <c r="C68" i="11"/>
  <c r="Q67" i="11"/>
  <c r="Q66" i="11"/>
  <c r="Q64" i="11"/>
  <c r="R54" i="11"/>
  <c r="P52" i="11"/>
  <c r="P69" i="11" s="1"/>
  <c r="N52" i="11"/>
  <c r="M52" i="11"/>
  <c r="L52" i="11"/>
  <c r="K52" i="11"/>
  <c r="J52" i="11"/>
  <c r="I52" i="11"/>
  <c r="H52" i="11"/>
  <c r="F52" i="11"/>
  <c r="E52" i="11"/>
  <c r="D52" i="11"/>
  <c r="R35" i="11"/>
  <c r="R34" i="11"/>
  <c r="P32" i="11"/>
  <c r="N32" i="11"/>
  <c r="M32" i="11"/>
  <c r="L32" i="11"/>
  <c r="K32" i="11"/>
  <c r="J32" i="11"/>
  <c r="I32" i="11"/>
  <c r="H32" i="11"/>
  <c r="F32" i="11"/>
  <c r="E32" i="11"/>
  <c r="D32" i="11"/>
  <c r="C32" i="11"/>
  <c r="R31" i="11"/>
  <c r="R30" i="11"/>
  <c r="R29" i="11"/>
  <c r="R14" i="11"/>
  <c r="R13" i="11"/>
  <c r="R12" i="11"/>
  <c r="P10" i="11"/>
  <c r="N10" i="11"/>
  <c r="M10" i="11"/>
  <c r="L10" i="11"/>
  <c r="K10" i="11"/>
  <c r="J10" i="11"/>
  <c r="I10" i="11"/>
  <c r="H10" i="11"/>
  <c r="F10" i="11"/>
  <c r="E10" i="11"/>
  <c r="D10" i="11"/>
  <c r="C10" i="11"/>
  <c r="R9" i="11"/>
  <c r="Q145" i="10"/>
  <c r="Q144" i="10"/>
  <c r="Q143" i="10"/>
  <c r="R117" i="10"/>
  <c r="R116" i="10"/>
  <c r="R110" i="10"/>
  <c r="R109" i="10"/>
  <c r="R108" i="10"/>
  <c r="R107" i="10"/>
  <c r="R106" i="10"/>
  <c r="R105" i="10"/>
  <c r="R103" i="10"/>
  <c r="H134" i="10"/>
  <c r="K134" i="10"/>
  <c r="I134" i="10"/>
  <c r="E134" i="10"/>
  <c r="C134" i="10"/>
  <c r="R95" i="10"/>
  <c r="R94" i="10"/>
  <c r="R93" i="10"/>
  <c r="R92" i="10"/>
  <c r="R91" i="10"/>
  <c r="R90" i="10"/>
  <c r="R89" i="10"/>
  <c r="R86" i="10"/>
  <c r="P82" i="10"/>
  <c r="O82" i="10"/>
  <c r="N82" i="10"/>
  <c r="M82" i="10"/>
  <c r="L82" i="10"/>
  <c r="K82" i="10"/>
  <c r="J82" i="10"/>
  <c r="I82" i="10"/>
  <c r="H82" i="10"/>
  <c r="F82" i="10"/>
  <c r="E82" i="10"/>
  <c r="D82" i="10"/>
  <c r="C82" i="10"/>
  <c r="P68" i="10"/>
  <c r="O68" i="10"/>
  <c r="M68" i="10"/>
  <c r="L68" i="10"/>
  <c r="K68" i="10"/>
  <c r="J68" i="10"/>
  <c r="I68" i="10"/>
  <c r="H68" i="10"/>
  <c r="F68" i="10"/>
  <c r="E68" i="10"/>
  <c r="D68" i="10"/>
  <c r="C68" i="10"/>
  <c r="Q67" i="10"/>
  <c r="Q66" i="10"/>
  <c r="Q64" i="10"/>
  <c r="R54" i="10"/>
  <c r="P52" i="10"/>
  <c r="P69" i="10" s="1"/>
  <c r="O52" i="10"/>
  <c r="O69" i="10" s="1"/>
  <c r="M52" i="10"/>
  <c r="M69" i="10" s="1"/>
  <c r="L52" i="10"/>
  <c r="L69" i="10" s="1"/>
  <c r="K52" i="10"/>
  <c r="K69" i="10" s="1"/>
  <c r="J52" i="10"/>
  <c r="J69" i="10" s="1"/>
  <c r="I52" i="10"/>
  <c r="H52" i="10"/>
  <c r="H69" i="10" s="1"/>
  <c r="F52" i="10"/>
  <c r="F69" i="10" s="1"/>
  <c r="E69" i="10"/>
  <c r="D52" i="10"/>
  <c r="D69" i="10" s="1"/>
  <c r="C52" i="10"/>
  <c r="R35" i="10"/>
  <c r="R34" i="10"/>
  <c r="P32" i="10"/>
  <c r="O32" i="10"/>
  <c r="M32" i="10"/>
  <c r="K32" i="10"/>
  <c r="J32" i="10"/>
  <c r="I32" i="10"/>
  <c r="H32" i="10"/>
  <c r="F32" i="10"/>
  <c r="E32" i="10"/>
  <c r="D32" i="10"/>
  <c r="R31" i="10"/>
  <c r="R30" i="10"/>
  <c r="R29" i="10"/>
  <c r="R13" i="10"/>
  <c r="R12" i="10"/>
  <c r="P10" i="10"/>
  <c r="O10" i="10"/>
  <c r="M10" i="10"/>
  <c r="L10" i="10"/>
  <c r="K10" i="10"/>
  <c r="J10" i="10"/>
  <c r="I10" i="10"/>
  <c r="H10" i="10"/>
  <c r="F10" i="10"/>
  <c r="E10" i="10"/>
  <c r="D10" i="10"/>
  <c r="C10" i="10"/>
  <c r="L145" i="9"/>
  <c r="L144" i="9"/>
  <c r="L143" i="9"/>
  <c r="L141" i="9"/>
  <c r="M116" i="9"/>
  <c r="G134" i="9"/>
  <c r="K134" i="9"/>
  <c r="I134" i="9"/>
  <c r="H134" i="9"/>
  <c r="F134" i="9"/>
  <c r="K82" i="9"/>
  <c r="J82" i="9"/>
  <c r="I82" i="9"/>
  <c r="H82" i="9"/>
  <c r="G82" i="9"/>
  <c r="E82" i="9"/>
  <c r="D82" i="9"/>
  <c r="C82" i="9"/>
  <c r="L67" i="9"/>
  <c r="L66" i="9"/>
  <c r="L64" i="9"/>
  <c r="K52" i="9"/>
  <c r="K69" i="9" s="1"/>
  <c r="I52" i="9"/>
  <c r="I69" i="9" s="1"/>
  <c r="H52" i="9"/>
  <c r="H69" i="9" s="1"/>
  <c r="F52" i="9"/>
  <c r="F69" i="9" s="1"/>
  <c r="E52" i="9"/>
  <c r="E69" i="9" s="1"/>
  <c r="D52" i="9"/>
  <c r="D69" i="9" s="1"/>
  <c r="C52" i="9"/>
  <c r="M35" i="9"/>
  <c r="M34" i="9"/>
  <c r="K32" i="9"/>
  <c r="I32" i="9"/>
  <c r="H32" i="9"/>
  <c r="E32" i="9"/>
  <c r="D32" i="9"/>
  <c r="C32" i="9"/>
  <c r="M31" i="9"/>
  <c r="M30" i="9"/>
  <c r="M29" i="9"/>
  <c r="M14" i="9"/>
  <c r="K10" i="9"/>
  <c r="H10" i="9"/>
  <c r="G10" i="9"/>
  <c r="F10" i="9"/>
  <c r="E10" i="9"/>
  <c r="D10" i="9"/>
  <c r="C10" i="9"/>
  <c r="O145" i="8"/>
  <c r="O144" i="8"/>
  <c r="O143" i="8"/>
  <c r="O141" i="8"/>
  <c r="Q122" i="8"/>
  <c r="Q117" i="8"/>
  <c r="Q110" i="8"/>
  <c r="Q109" i="8"/>
  <c r="Q108" i="8"/>
  <c r="Q107" i="8"/>
  <c r="Q106" i="8"/>
  <c r="Q105" i="8"/>
  <c r="Q103" i="8"/>
  <c r="Q95" i="8"/>
  <c r="Q94" i="8"/>
  <c r="Q93" i="8"/>
  <c r="Q92" i="8"/>
  <c r="Q91" i="8"/>
  <c r="Q90" i="8"/>
  <c r="Q89" i="8"/>
  <c r="Q86" i="8"/>
  <c r="N82" i="8"/>
  <c r="M82" i="8"/>
  <c r="L82" i="8"/>
  <c r="K82" i="8"/>
  <c r="J82" i="8"/>
  <c r="I82" i="8"/>
  <c r="H82" i="8"/>
  <c r="G82" i="8"/>
  <c r="F82" i="8"/>
  <c r="E82" i="8"/>
  <c r="D82" i="8"/>
  <c r="C82" i="8"/>
  <c r="Q54" i="8"/>
  <c r="N52" i="8"/>
  <c r="N69" i="8" s="1"/>
  <c r="M52" i="8"/>
  <c r="M69" i="8" s="1"/>
  <c r="L52" i="8"/>
  <c r="K52" i="8"/>
  <c r="K69" i="8" s="1"/>
  <c r="I52" i="8"/>
  <c r="I69" i="8" s="1"/>
  <c r="H52" i="8"/>
  <c r="H69" i="8" s="1"/>
  <c r="G52" i="8"/>
  <c r="G69" i="8" s="1"/>
  <c r="F52" i="8"/>
  <c r="F69" i="8" s="1"/>
  <c r="E52" i="8"/>
  <c r="E69" i="8" s="1"/>
  <c r="D52" i="8"/>
  <c r="D69" i="8" s="1"/>
  <c r="C52" i="8"/>
  <c r="Q35" i="8"/>
  <c r="Q34" i="8"/>
  <c r="N32" i="8"/>
  <c r="M32" i="8"/>
  <c r="L32" i="8"/>
  <c r="K32" i="8"/>
  <c r="H32" i="8"/>
  <c r="G32" i="8"/>
  <c r="F32" i="8"/>
  <c r="E32" i="8"/>
  <c r="D32" i="8"/>
  <c r="C32" i="8"/>
  <c r="Q30" i="8"/>
  <c r="Q29" i="8"/>
  <c r="Q13" i="8"/>
  <c r="Q12" i="8"/>
  <c r="N10" i="8"/>
  <c r="M10" i="8"/>
  <c r="L10" i="8"/>
  <c r="K10" i="8"/>
  <c r="I10" i="8"/>
  <c r="H10" i="8"/>
  <c r="G10" i="8"/>
  <c r="G70" i="8" s="1"/>
  <c r="F10" i="8"/>
  <c r="E10" i="8"/>
  <c r="D10" i="8"/>
  <c r="C10" i="8"/>
  <c r="Q9" i="8"/>
  <c r="E58" i="16" l="1"/>
  <c r="H58" i="16" s="1"/>
  <c r="E60" i="16"/>
  <c r="E59" i="16"/>
  <c r="E62" i="16"/>
  <c r="E71" i="16" s="1"/>
  <c r="E61" i="16"/>
  <c r="H61" i="16" s="1"/>
  <c r="E70" i="16"/>
  <c r="H70" i="8"/>
  <c r="K70" i="8"/>
  <c r="C59" i="8"/>
  <c r="C62" i="8"/>
  <c r="C60" i="8"/>
  <c r="M62" i="8"/>
  <c r="M59" i="8"/>
  <c r="M60" i="8"/>
  <c r="C70" i="8"/>
  <c r="L70" i="8"/>
  <c r="D62" i="8"/>
  <c r="D59" i="8"/>
  <c r="D60" i="8"/>
  <c r="N60" i="8"/>
  <c r="N62" i="8"/>
  <c r="N59" i="8"/>
  <c r="K59" i="8"/>
  <c r="K60" i="8"/>
  <c r="K62" i="8"/>
  <c r="H60" i="8"/>
  <c r="H62" i="8"/>
  <c r="H59" i="8"/>
  <c r="I70" i="8"/>
  <c r="L60" i="8"/>
  <c r="L62" i="8"/>
  <c r="L59" i="8"/>
  <c r="D70" i="8"/>
  <c r="M70" i="8"/>
  <c r="E60" i="8"/>
  <c r="E62" i="8"/>
  <c r="E71" i="8" s="1"/>
  <c r="E59" i="8"/>
  <c r="E70" i="8"/>
  <c r="N70" i="8"/>
  <c r="F59" i="8"/>
  <c r="F60" i="8"/>
  <c r="F62" i="8"/>
  <c r="F70" i="8"/>
  <c r="G59" i="8"/>
  <c r="G62" i="8"/>
  <c r="G71" i="8" s="1"/>
  <c r="G60" i="8"/>
  <c r="F12" i="1"/>
  <c r="F14" i="1"/>
  <c r="E12" i="1"/>
  <c r="E14" i="1"/>
  <c r="J12" i="1"/>
  <c r="J14" i="1"/>
  <c r="H12" i="1"/>
  <c r="H14" i="1"/>
  <c r="D15" i="1"/>
  <c r="D13" i="1"/>
  <c r="C69" i="16"/>
  <c r="J15" i="1"/>
  <c r="J13" i="1"/>
  <c r="G12" i="1"/>
  <c r="G14" i="1"/>
  <c r="G13" i="1"/>
  <c r="G15" i="1"/>
  <c r="C69" i="14"/>
  <c r="H13" i="1"/>
  <c r="H15" i="1"/>
  <c r="C69" i="15"/>
  <c r="I13" i="1"/>
  <c r="I15" i="1"/>
  <c r="B13" i="1"/>
  <c r="C12" i="1"/>
  <c r="C14" i="1"/>
  <c r="E15" i="1"/>
  <c r="E13" i="1"/>
  <c r="F15" i="1"/>
  <c r="F13" i="1"/>
  <c r="D12" i="1"/>
  <c r="D14" i="1"/>
  <c r="E57" i="16"/>
  <c r="E127" i="16" s="1"/>
  <c r="P71" i="11"/>
  <c r="P57" i="11"/>
  <c r="P127" i="11" s="1"/>
  <c r="K57" i="8"/>
  <c r="K127" i="8" s="1"/>
  <c r="K71" i="8"/>
  <c r="L52" i="12"/>
  <c r="K57" i="9"/>
  <c r="K127" i="9" s="1"/>
  <c r="K71" i="9"/>
  <c r="D57" i="13"/>
  <c r="D127" i="13" s="1"/>
  <c r="F71" i="10"/>
  <c r="F57" i="10"/>
  <c r="F127" i="10" s="1"/>
  <c r="G57" i="15"/>
  <c r="G127" i="15" s="1"/>
  <c r="G71" i="15"/>
  <c r="N57" i="8"/>
  <c r="N127" i="8" s="1"/>
  <c r="N71" i="8"/>
  <c r="C127" i="13"/>
  <c r="C71" i="13"/>
  <c r="H71" i="12"/>
  <c r="H57" i="12"/>
  <c r="H127" i="12" s="1"/>
  <c r="F71" i="12"/>
  <c r="F57" i="12"/>
  <c r="F127" i="12" s="1"/>
  <c r="H57" i="10"/>
  <c r="H127" i="10" s="1"/>
  <c r="H71" i="10"/>
  <c r="C127" i="14"/>
  <c r="I71" i="9"/>
  <c r="I57" i="9"/>
  <c r="I127" i="9" s="1"/>
  <c r="L71" i="8"/>
  <c r="L57" i="8"/>
  <c r="L127" i="8" s="1"/>
  <c r="C57" i="8"/>
  <c r="F57" i="13"/>
  <c r="F127" i="13" s="1"/>
  <c r="F71" i="13"/>
  <c r="C71" i="15"/>
  <c r="C127" i="15"/>
  <c r="E57" i="15"/>
  <c r="E127" i="15" s="1"/>
  <c r="E71" i="15"/>
  <c r="F57" i="16"/>
  <c r="F127" i="16" s="1"/>
  <c r="F71" i="16"/>
  <c r="M71" i="8"/>
  <c r="M57" i="8"/>
  <c r="M127" i="8" s="1"/>
  <c r="F71" i="8"/>
  <c r="F57" i="8"/>
  <c r="F127" i="8" s="1"/>
  <c r="E57" i="13"/>
  <c r="E127" i="13" s="1"/>
  <c r="E71" i="13"/>
  <c r="F71" i="9"/>
  <c r="F57" i="9"/>
  <c r="F127" i="9" s="1"/>
  <c r="E71" i="9"/>
  <c r="E57" i="9"/>
  <c r="E127" i="9" s="1"/>
  <c r="L71" i="10"/>
  <c r="L57" i="10"/>
  <c r="D71" i="9"/>
  <c r="D57" i="9"/>
  <c r="D127" i="9" s="1"/>
  <c r="D71" i="8"/>
  <c r="D57" i="8"/>
  <c r="D127" i="8" s="1"/>
  <c r="J57" i="10"/>
  <c r="J127" i="10" s="1"/>
  <c r="J71" i="10"/>
  <c r="G71" i="12"/>
  <c r="G57" i="12"/>
  <c r="G127" i="12" s="1"/>
  <c r="D57" i="16"/>
  <c r="D127" i="16" s="1"/>
  <c r="H57" i="9"/>
  <c r="H127" i="9" s="1"/>
  <c r="H71" i="9"/>
  <c r="I57" i="12"/>
  <c r="I127" i="12" s="1"/>
  <c r="I71" i="12"/>
  <c r="D71" i="14"/>
  <c r="D57" i="14"/>
  <c r="E71" i="10"/>
  <c r="E57" i="10"/>
  <c r="E127" i="10" s="1"/>
  <c r="E57" i="8"/>
  <c r="E127" i="8" s="1"/>
  <c r="K57" i="10"/>
  <c r="K127" i="10" s="1"/>
  <c r="K71" i="10"/>
  <c r="G71" i="13"/>
  <c r="G57" i="13"/>
  <c r="G127" i="13" s="1"/>
  <c r="C57" i="9"/>
  <c r="C127" i="9" s="1"/>
  <c r="C71" i="9"/>
  <c r="M57" i="10"/>
  <c r="M71" i="10"/>
  <c r="C127" i="16"/>
  <c r="D71" i="12"/>
  <c r="D57" i="12"/>
  <c r="D127" i="12" s="1"/>
  <c r="E57" i="12"/>
  <c r="E127" i="12" s="1"/>
  <c r="C71" i="12"/>
  <c r="C127" i="12"/>
  <c r="C71" i="11"/>
  <c r="C127" i="11"/>
  <c r="D71" i="10"/>
  <c r="D57" i="10"/>
  <c r="D127" i="10" s="1"/>
  <c r="H71" i="8"/>
  <c r="H57" i="8"/>
  <c r="H127" i="8" s="1"/>
  <c r="H57" i="13"/>
  <c r="H127" i="13" s="1"/>
  <c r="H71" i="13"/>
  <c r="I57" i="10"/>
  <c r="I127" i="10" s="1"/>
  <c r="I71" i="10"/>
  <c r="O71" i="10"/>
  <c r="O57" i="10"/>
  <c r="O127" i="10" s="1"/>
  <c r="G57" i="8"/>
  <c r="G127" i="8" s="1"/>
  <c r="P57" i="10"/>
  <c r="P127" i="10" s="1"/>
  <c r="P71" i="10"/>
  <c r="J69" i="11"/>
  <c r="J71" i="11"/>
  <c r="J57" i="11"/>
  <c r="D69" i="11"/>
  <c r="D71" i="11"/>
  <c r="D57" i="11"/>
  <c r="D127" i="11" s="1"/>
  <c r="M69" i="11"/>
  <c r="M57" i="11"/>
  <c r="M71" i="11"/>
  <c r="L69" i="11"/>
  <c r="L57" i="11"/>
  <c r="L71" i="11"/>
  <c r="E69" i="11"/>
  <c r="E57" i="11"/>
  <c r="E127" i="11" s="1"/>
  <c r="N69" i="11"/>
  <c r="N71" i="11"/>
  <c r="N57" i="11"/>
  <c r="N127" i="11" s="1"/>
  <c r="K69" i="11"/>
  <c r="K57" i="11"/>
  <c r="K127" i="11" s="1"/>
  <c r="K71" i="11"/>
  <c r="F57" i="11"/>
  <c r="F127" i="11" s="1"/>
  <c r="F71" i="11"/>
  <c r="H69" i="11"/>
  <c r="H71" i="11"/>
  <c r="H57" i="11"/>
  <c r="H127" i="11" s="1"/>
  <c r="I69" i="11"/>
  <c r="I71" i="11"/>
  <c r="I57" i="11"/>
  <c r="I127" i="11" s="1"/>
  <c r="D134" i="16"/>
  <c r="F134" i="16"/>
  <c r="E134" i="16"/>
  <c r="I115" i="16"/>
  <c r="D134" i="15"/>
  <c r="E134" i="15"/>
  <c r="F134" i="15"/>
  <c r="F134" i="13"/>
  <c r="G134" i="13"/>
  <c r="H134" i="13"/>
  <c r="H134" i="12"/>
  <c r="G134" i="12"/>
  <c r="E134" i="12"/>
  <c r="M134" i="11"/>
  <c r="H134" i="11"/>
  <c r="I134" i="11"/>
  <c r="M134" i="10"/>
  <c r="O134" i="10"/>
  <c r="D134" i="10"/>
  <c r="P134" i="10"/>
  <c r="D134" i="9"/>
  <c r="C134" i="14"/>
  <c r="D134" i="14"/>
  <c r="I123" i="12"/>
  <c r="E123" i="12"/>
  <c r="F123" i="12"/>
  <c r="D138" i="12"/>
  <c r="D136" i="12"/>
  <c r="F131" i="8"/>
  <c r="F129" i="8"/>
  <c r="I131" i="8"/>
  <c r="I129" i="8"/>
  <c r="I26" i="1"/>
  <c r="D131" i="8"/>
  <c r="D129" i="8"/>
  <c r="B8" i="1"/>
  <c r="E123" i="9"/>
  <c r="J71" i="9"/>
  <c r="H26" i="1"/>
  <c r="G26" i="1"/>
  <c r="I10" i="16"/>
  <c r="F32" i="15"/>
  <c r="I12" i="1" s="1"/>
  <c r="H123" i="11"/>
  <c r="E124" i="11"/>
  <c r="E125" i="11" s="1"/>
  <c r="E134" i="11"/>
  <c r="I121" i="16"/>
  <c r="I52" i="16"/>
  <c r="H141" i="16"/>
  <c r="D123" i="15"/>
  <c r="E124" i="15"/>
  <c r="E125" i="15" s="1"/>
  <c r="I118" i="15"/>
  <c r="H120" i="14"/>
  <c r="H118" i="14"/>
  <c r="J52" i="13"/>
  <c r="D123" i="13"/>
  <c r="K31" i="13"/>
  <c r="G123" i="12"/>
  <c r="P123" i="11"/>
  <c r="I123" i="11"/>
  <c r="S31" i="11"/>
  <c r="R110" i="11"/>
  <c r="F134" i="10"/>
  <c r="I31" i="14"/>
  <c r="H32" i="14"/>
  <c r="G124" i="9"/>
  <c r="G125" i="9" s="1"/>
  <c r="D123" i="9"/>
  <c r="M120" i="9"/>
  <c r="K124" i="9"/>
  <c r="K125" i="9" s="1"/>
  <c r="M124" i="10"/>
  <c r="M125" i="10" s="1"/>
  <c r="O124" i="10"/>
  <c r="O125" i="10" s="1"/>
  <c r="F123" i="11"/>
  <c r="N123" i="11"/>
  <c r="N124" i="11"/>
  <c r="N125" i="11" s="1"/>
  <c r="C123" i="12"/>
  <c r="D124" i="12"/>
  <c r="D125" i="12" s="1"/>
  <c r="S31" i="10"/>
  <c r="B26" i="1"/>
  <c r="I124" i="8"/>
  <c r="O64" i="8"/>
  <c r="O66" i="8"/>
  <c r="O67" i="8"/>
  <c r="K124" i="8"/>
  <c r="K125" i="8" s="1"/>
  <c r="B15" i="1"/>
  <c r="H123" i="8"/>
  <c r="H138" i="8" s="1"/>
  <c r="I123" i="8"/>
  <c r="I138" i="8" s="1"/>
  <c r="B6" i="1"/>
  <c r="G123" i="8"/>
  <c r="G136" i="8" s="1"/>
  <c r="I32" i="8"/>
  <c r="D123" i="8"/>
  <c r="C69" i="10"/>
  <c r="K123" i="11"/>
  <c r="E123" i="11"/>
  <c r="H123" i="12"/>
  <c r="C26" i="1"/>
  <c r="R87" i="10"/>
  <c r="R104" i="10"/>
  <c r="H124" i="10"/>
  <c r="H125" i="10" s="1"/>
  <c r="J124" i="11"/>
  <c r="R104" i="11"/>
  <c r="C69" i="13"/>
  <c r="I69" i="13" s="1"/>
  <c r="F123" i="13"/>
  <c r="H107" i="14"/>
  <c r="H52" i="16"/>
  <c r="F26" i="1"/>
  <c r="C134" i="9"/>
  <c r="Q31" i="8"/>
  <c r="R31" i="8" s="1"/>
  <c r="I124" i="11"/>
  <c r="I125" i="11" s="1"/>
  <c r="L69" i="8"/>
  <c r="H124" i="8"/>
  <c r="H125" i="8" s="1"/>
  <c r="L123" i="8"/>
  <c r="L136" i="8" s="1"/>
  <c r="F123" i="8"/>
  <c r="F138" i="8" s="1"/>
  <c r="N123" i="8"/>
  <c r="N136" i="8" s="1"/>
  <c r="Q121" i="8"/>
  <c r="H123" i="9"/>
  <c r="F69" i="12"/>
  <c r="I52" i="13"/>
  <c r="J97" i="13"/>
  <c r="Q14" i="8"/>
  <c r="K134" i="8"/>
  <c r="R14" i="10"/>
  <c r="L124" i="8"/>
  <c r="L125" i="8" s="1"/>
  <c r="Q52" i="10"/>
  <c r="F124" i="12"/>
  <c r="F125" i="12" s="1"/>
  <c r="C123" i="15"/>
  <c r="E124" i="8"/>
  <c r="E125" i="8" s="1"/>
  <c r="M124" i="8"/>
  <c r="M125" i="8" s="1"/>
  <c r="I123" i="9"/>
  <c r="R121" i="11"/>
  <c r="H52" i="14"/>
  <c r="I118" i="16"/>
  <c r="J31" i="16"/>
  <c r="G134" i="8"/>
  <c r="K123" i="8"/>
  <c r="K136" i="8" s="1"/>
  <c r="F123" i="9"/>
  <c r="I124" i="10"/>
  <c r="I125" i="10" s="1"/>
  <c r="J123" i="11"/>
  <c r="F124" i="11"/>
  <c r="F125" i="11" s="1"/>
  <c r="D138" i="14"/>
  <c r="D26" i="1"/>
  <c r="J31" i="15"/>
  <c r="G123" i="15"/>
  <c r="C69" i="8"/>
  <c r="E123" i="8"/>
  <c r="E136" i="8" s="1"/>
  <c r="M123" i="8"/>
  <c r="M136" i="8" s="1"/>
  <c r="R88" i="10"/>
  <c r="D123" i="11"/>
  <c r="L123" i="11"/>
  <c r="F124" i="15"/>
  <c r="F125" i="15" s="1"/>
  <c r="B10" i="1"/>
  <c r="E26" i="1"/>
  <c r="L134" i="8"/>
  <c r="F124" i="13"/>
  <c r="F125" i="13" s="1"/>
  <c r="J26" i="1"/>
  <c r="F124" i="8"/>
  <c r="N134" i="8"/>
  <c r="N124" i="8"/>
  <c r="N125" i="8" s="1"/>
  <c r="E134" i="9"/>
  <c r="M115" i="9"/>
  <c r="J71" i="8"/>
  <c r="Q87" i="8"/>
  <c r="H124" i="9"/>
  <c r="H125" i="9" s="1"/>
  <c r="I124" i="9"/>
  <c r="I125" i="9" s="1"/>
  <c r="E124" i="10"/>
  <c r="E125" i="10" s="1"/>
  <c r="R10" i="11"/>
  <c r="Q10" i="8"/>
  <c r="G124" i="8"/>
  <c r="G125" i="8" s="1"/>
  <c r="I69" i="10"/>
  <c r="F69" i="11"/>
  <c r="C134" i="8"/>
  <c r="Q120" i="8"/>
  <c r="F124" i="10"/>
  <c r="P124" i="10"/>
  <c r="P125" i="10" s="1"/>
  <c r="R121" i="10"/>
  <c r="G69" i="12"/>
  <c r="I10" i="15"/>
  <c r="L101" i="12"/>
  <c r="H134" i="8"/>
  <c r="R10" i="10"/>
  <c r="J134" i="10"/>
  <c r="H124" i="11"/>
  <c r="H125" i="11" s="1"/>
  <c r="R120" i="11"/>
  <c r="C124" i="15"/>
  <c r="I115" i="15"/>
  <c r="C69" i="9"/>
  <c r="G123" i="9"/>
  <c r="M121" i="9"/>
  <c r="C124" i="9"/>
  <c r="R52" i="10"/>
  <c r="N71" i="10"/>
  <c r="L134" i="10"/>
  <c r="R97" i="10"/>
  <c r="J124" i="10"/>
  <c r="Q52" i="11"/>
  <c r="I124" i="12"/>
  <c r="I125" i="12" s="1"/>
  <c r="N31" i="9"/>
  <c r="K124" i="11"/>
  <c r="K125" i="11" s="1"/>
  <c r="C123" i="11"/>
  <c r="R118" i="11"/>
  <c r="M10" i="9"/>
  <c r="L124" i="11"/>
  <c r="L125" i="11" s="1"/>
  <c r="C69" i="12"/>
  <c r="K52" i="12"/>
  <c r="O52" i="8"/>
  <c r="Q97" i="8"/>
  <c r="Q104" i="8"/>
  <c r="L32" i="9"/>
  <c r="J134" i="11"/>
  <c r="R87" i="11"/>
  <c r="K32" i="12"/>
  <c r="H10" i="14"/>
  <c r="D124" i="9"/>
  <c r="D125" i="9" s="1"/>
  <c r="M124" i="11"/>
  <c r="M125" i="11" s="1"/>
  <c r="M123" i="11"/>
  <c r="I52" i="15"/>
  <c r="H52" i="15"/>
  <c r="D69" i="15"/>
  <c r="D127" i="15"/>
  <c r="Q88" i="8"/>
  <c r="E124" i="9"/>
  <c r="F124" i="9"/>
  <c r="F125" i="9" s="1"/>
  <c r="C124" i="11"/>
  <c r="C138" i="14"/>
  <c r="C134" i="16"/>
  <c r="I97" i="16"/>
  <c r="E125" i="16"/>
  <c r="Q52" i="8"/>
  <c r="E134" i="8"/>
  <c r="M134" i="8"/>
  <c r="M32" i="9"/>
  <c r="G52" i="9"/>
  <c r="L52" i="9" s="1"/>
  <c r="C123" i="9"/>
  <c r="K123" i="9"/>
  <c r="C124" i="10"/>
  <c r="N125" i="10"/>
  <c r="G69" i="15"/>
  <c r="R120" i="10"/>
  <c r="J32" i="13"/>
  <c r="I32" i="15"/>
  <c r="H32" i="16"/>
  <c r="I32" i="16"/>
  <c r="K124" i="10"/>
  <c r="K125" i="10" s="1"/>
  <c r="R32" i="11"/>
  <c r="Q32" i="11"/>
  <c r="C69" i="11"/>
  <c r="R52" i="11"/>
  <c r="R88" i="11"/>
  <c r="M31" i="12"/>
  <c r="D124" i="13"/>
  <c r="D125" i="13" s="1"/>
  <c r="J118" i="13"/>
  <c r="H123" i="13"/>
  <c r="H124" i="13"/>
  <c r="H125" i="13" s="1"/>
  <c r="I120" i="15"/>
  <c r="L124" i="10"/>
  <c r="E123" i="13"/>
  <c r="G123" i="13"/>
  <c r="G124" i="13"/>
  <c r="G125" i="13" s="1"/>
  <c r="H101" i="14"/>
  <c r="R97" i="11"/>
  <c r="P124" i="11"/>
  <c r="P125" i="11" s="1"/>
  <c r="E125" i="12"/>
  <c r="D125" i="14"/>
  <c r="H115" i="14"/>
  <c r="G124" i="15"/>
  <c r="G125" i="15" s="1"/>
  <c r="I120" i="16"/>
  <c r="D124" i="11"/>
  <c r="D125" i="11" s="1"/>
  <c r="H124" i="12"/>
  <c r="H125" i="12" s="1"/>
  <c r="J121" i="13"/>
  <c r="E123" i="15"/>
  <c r="R118" i="10"/>
  <c r="G32" i="14"/>
  <c r="F123" i="15"/>
  <c r="D125" i="16"/>
  <c r="G124" i="12"/>
  <c r="G125" i="12" s="1"/>
  <c r="J10" i="13"/>
  <c r="I32" i="13"/>
  <c r="C134" i="15"/>
  <c r="I97" i="15"/>
  <c r="J120" i="13"/>
  <c r="H121" i="14"/>
  <c r="I121" i="15"/>
  <c r="C124" i="12"/>
  <c r="G52" i="14"/>
  <c r="H97" i="14"/>
  <c r="E69" i="16"/>
  <c r="D124" i="15"/>
  <c r="D125" i="15" s="1"/>
  <c r="F125" i="16"/>
  <c r="B12" i="1" l="1"/>
  <c r="I59" i="8"/>
  <c r="I60" i="8"/>
  <c r="I62" i="8"/>
  <c r="I14" i="1"/>
  <c r="L123" i="12"/>
  <c r="C13" i="1"/>
  <c r="L124" i="12"/>
  <c r="C15" i="1"/>
  <c r="G20" i="1"/>
  <c r="I70" i="13"/>
  <c r="F71" i="15"/>
  <c r="H60" i="15"/>
  <c r="F57" i="15"/>
  <c r="F127" i="15" s="1"/>
  <c r="I20" i="1" s="1"/>
  <c r="H32" i="15"/>
  <c r="I57" i="8"/>
  <c r="I127" i="8" s="1"/>
  <c r="I71" i="8"/>
  <c r="O59" i="8"/>
  <c r="J20" i="1"/>
  <c r="L60" i="9"/>
  <c r="G57" i="9"/>
  <c r="F20" i="1"/>
  <c r="Q60" i="10"/>
  <c r="C127" i="10"/>
  <c r="E138" i="16"/>
  <c r="E136" i="16"/>
  <c r="F138" i="16"/>
  <c r="F136" i="16"/>
  <c r="C136" i="16"/>
  <c r="C138" i="16"/>
  <c r="D138" i="16"/>
  <c r="D136" i="16"/>
  <c r="F138" i="15"/>
  <c r="F136" i="15"/>
  <c r="C136" i="15"/>
  <c r="C138" i="15"/>
  <c r="G138" i="15"/>
  <c r="G136" i="15"/>
  <c r="E136" i="15"/>
  <c r="E138" i="15"/>
  <c r="D136" i="15"/>
  <c r="D138" i="15"/>
  <c r="D136" i="14"/>
  <c r="D127" i="14"/>
  <c r="H20" i="1" s="1"/>
  <c r="E134" i="13"/>
  <c r="J101" i="13"/>
  <c r="I71" i="13"/>
  <c r="L138" i="11"/>
  <c r="L136" i="11"/>
  <c r="C138" i="11"/>
  <c r="C136" i="11"/>
  <c r="D136" i="11"/>
  <c r="D138" i="11"/>
  <c r="H136" i="11"/>
  <c r="H138" i="11"/>
  <c r="I138" i="11"/>
  <c r="I136" i="11"/>
  <c r="M136" i="11"/>
  <c r="M138" i="11"/>
  <c r="E136" i="11"/>
  <c r="E138" i="11"/>
  <c r="F136" i="11"/>
  <c r="F138" i="11"/>
  <c r="P136" i="11"/>
  <c r="P138" i="11"/>
  <c r="N136" i="11"/>
  <c r="N138" i="11"/>
  <c r="J138" i="11"/>
  <c r="J136" i="11"/>
  <c r="K138" i="11"/>
  <c r="K136" i="11"/>
  <c r="L127" i="11"/>
  <c r="M127" i="11"/>
  <c r="J127" i="11"/>
  <c r="H138" i="10"/>
  <c r="H136" i="10"/>
  <c r="C138" i="10"/>
  <c r="C136" i="10"/>
  <c r="M138" i="10"/>
  <c r="M136" i="10"/>
  <c r="L138" i="10"/>
  <c r="L136" i="10"/>
  <c r="I136" i="10"/>
  <c r="I138" i="10"/>
  <c r="E136" i="10"/>
  <c r="E138" i="10"/>
  <c r="P136" i="10"/>
  <c r="P138" i="10"/>
  <c r="O136" i="10"/>
  <c r="O138" i="10"/>
  <c r="D138" i="10"/>
  <c r="D136" i="10"/>
  <c r="K136" i="10"/>
  <c r="K138" i="10"/>
  <c r="F138" i="10"/>
  <c r="F136" i="10"/>
  <c r="J138" i="10"/>
  <c r="J136" i="10"/>
  <c r="L127" i="10"/>
  <c r="M127" i="10"/>
  <c r="H136" i="9"/>
  <c r="H138" i="9"/>
  <c r="D136" i="9"/>
  <c r="D138" i="9"/>
  <c r="K136" i="9"/>
  <c r="K138" i="9"/>
  <c r="F136" i="9"/>
  <c r="F138" i="9"/>
  <c r="C136" i="9"/>
  <c r="C138" i="9"/>
  <c r="I136" i="9"/>
  <c r="I138" i="9"/>
  <c r="G136" i="9"/>
  <c r="G138" i="9"/>
  <c r="E136" i="9"/>
  <c r="E138" i="9"/>
  <c r="C136" i="14"/>
  <c r="D136" i="13"/>
  <c r="D138" i="13"/>
  <c r="H136" i="13"/>
  <c r="H138" i="13"/>
  <c r="F136" i="13"/>
  <c r="F138" i="13"/>
  <c r="C136" i="13"/>
  <c r="C138" i="13"/>
  <c r="G138" i="13"/>
  <c r="G136" i="13"/>
  <c r="E136" i="13"/>
  <c r="E138" i="13"/>
  <c r="G138" i="12"/>
  <c r="G136" i="12"/>
  <c r="F136" i="12"/>
  <c r="F138" i="12"/>
  <c r="E136" i="12"/>
  <c r="E138" i="12"/>
  <c r="H136" i="12"/>
  <c r="H138" i="12"/>
  <c r="C136" i="12"/>
  <c r="C138" i="12"/>
  <c r="I136" i="12"/>
  <c r="I138" i="12"/>
  <c r="O32" i="8"/>
  <c r="C127" i="8"/>
  <c r="I125" i="8"/>
  <c r="C125" i="9"/>
  <c r="M101" i="9"/>
  <c r="I123" i="15"/>
  <c r="I7" i="1"/>
  <c r="F71" i="14"/>
  <c r="F19" i="1"/>
  <c r="J7" i="1"/>
  <c r="G18" i="1"/>
  <c r="Q62" i="11"/>
  <c r="M123" i="9"/>
  <c r="Q32" i="8"/>
  <c r="Q70" i="10"/>
  <c r="F125" i="10"/>
  <c r="R101" i="10"/>
  <c r="H16" i="1"/>
  <c r="H18" i="1"/>
  <c r="H19" i="1"/>
  <c r="C71" i="14"/>
  <c r="I134" i="8"/>
  <c r="I136" i="8"/>
  <c r="Q101" i="8"/>
  <c r="G138" i="8"/>
  <c r="L138" i="8"/>
  <c r="K138" i="8"/>
  <c r="O69" i="8"/>
  <c r="H136" i="8"/>
  <c r="D136" i="8"/>
  <c r="C71" i="8"/>
  <c r="O70" i="8"/>
  <c r="B14" i="1"/>
  <c r="F16" i="1"/>
  <c r="F7" i="1"/>
  <c r="F9" i="1"/>
  <c r="F11" i="1"/>
  <c r="F136" i="8"/>
  <c r="J19" i="1"/>
  <c r="B11" i="1"/>
  <c r="B9" i="1"/>
  <c r="B7" i="1"/>
  <c r="E19" i="1"/>
  <c r="E9" i="1"/>
  <c r="E7" i="1"/>
  <c r="E11" i="1"/>
  <c r="M138" i="8"/>
  <c r="J18" i="1"/>
  <c r="G19" i="1"/>
  <c r="I9" i="1"/>
  <c r="Q60" i="11"/>
  <c r="E18" i="1"/>
  <c r="M52" i="9"/>
  <c r="K52" i="16" s="1"/>
  <c r="J9" i="1"/>
  <c r="I11" i="1"/>
  <c r="E124" i="13"/>
  <c r="E125" i="13" s="1"/>
  <c r="J115" i="13"/>
  <c r="G16" i="1"/>
  <c r="Q57" i="11"/>
  <c r="E16" i="1"/>
  <c r="R115" i="11"/>
  <c r="R32" i="10"/>
  <c r="F18" i="1"/>
  <c r="J16" i="1"/>
  <c r="E138" i="8"/>
  <c r="N138" i="8"/>
  <c r="J11" i="1"/>
  <c r="G7" i="1"/>
  <c r="G9" i="1"/>
  <c r="G11" i="1"/>
  <c r="H7" i="1"/>
  <c r="H11" i="1"/>
  <c r="H9" i="1"/>
  <c r="H69" i="16"/>
  <c r="Q32" i="10"/>
  <c r="D7" i="1"/>
  <c r="D11" i="1"/>
  <c r="D9" i="1"/>
  <c r="D124" i="10"/>
  <c r="D125" i="10" s="1"/>
  <c r="H123" i="14"/>
  <c r="I60" i="13"/>
  <c r="G60" i="14"/>
  <c r="J123" i="13"/>
  <c r="Q69" i="11"/>
  <c r="Q70" i="11"/>
  <c r="R62" i="11"/>
  <c r="R115" i="10"/>
  <c r="C125" i="14"/>
  <c r="H124" i="14"/>
  <c r="H69" i="15"/>
  <c r="J125" i="11"/>
  <c r="Q118" i="8"/>
  <c r="C123" i="8"/>
  <c r="C124" i="8"/>
  <c r="H62" i="14"/>
  <c r="G62" i="14"/>
  <c r="I62" i="15"/>
  <c r="I124" i="15"/>
  <c r="J125" i="10"/>
  <c r="C125" i="10"/>
  <c r="F125" i="8"/>
  <c r="F134" i="8"/>
  <c r="G69" i="14"/>
  <c r="G71" i="14"/>
  <c r="G70" i="14"/>
  <c r="I123" i="16"/>
  <c r="I57" i="13"/>
  <c r="I124" i="16"/>
  <c r="H57" i="16"/>
  <c r="L125" i="10"/>
  <c r="D71" i="15"/>
  <c r="E71" i="11"/>
  <c r="D134" i="8"/>
  <c r="D124" i="8"/>
  <c r="D125" i="8" s="1"/>
  <c r="D138" i="8"/>
  <c r="Q115" i="8"/>
  <c r="K62" i="12"/>
  <c r="Q69" i="10"/>
  <c r="R101" i="11"/>
  <c r="R123" i="10"/>
  <c r="G57" i="14"/>
  <c r="H62" i="16"/>
  <c r="I62" i="16"/>
  <c r="C125" i="13"/>
  <c r="K57" i="12"/>
  <c r="R123" i="11"/>
  <c r="M124" i="9"/>
  <c r="J62" i="13"/>
  <c r="E125" i="9"/>
  <c r="H70" i="16"/>
  <c r="H71" i="16"/>
  <c r="C126" i="12"/>
  <c r="G69" i="9"/>
  <c r="L69" i="9" s="1"/>
  <c r="C125" i="11"/>
  <c r="R124" i="11"/>
  <c r="E71" i="12"/>
  <c r="K71" i="12"/>
  <c r="K69" i="12"/>
  <c r="K70" i="12"/>
  <c r="I62" i="13"/>
  <c r="C125" i="12"/>
  <c r="K60" i="12"/>
  <c r="I101" i="15"/>
  <c r="C125" i="15"/>
  <c r="H71" i="15"/>
  <c r="C71" i="16"/>
  <c r="H70" i="15"/>
  <c r="D71" i="13"/>
  <c r="C125" i="16"/>
  <c r="I101" i="16"/>
  <c r="H60" i="16"/>
  <c r="L62" i="12"/>
  <c r="D20" i="1" l="1"/>
  <c r="E20" i="1"/>
  <c r="I19" i="1"/>
  <c r="I18" i="1"/>
  <c r="H57" i="15"/>
  <c r="I16" i="1"/>
  <c r="H62" i="15"/>
  <c r="L57" i="9"/>
  <c r="G127" i="9"/>
  <c r="C20" i="1" s="1"/>
  <c r="J124" i="13"/>
  <c r="B20" i="1"/>
  <c r="K32" i="16"/>
  <c r="B16" i="1"/>
  <c r="B17" i="1"/>
  <c r="C19" i="1"/>
  <c r="H59" i="15"/>
  <c r="I17" i="1"/>
  <c r="O60" i="8"/>
  <c r="B18" i="1"/>
  <c r="Q62" i="10"/>
  <c r="R62" i="10"/>
  <c r="D18" i="1"/>
  <c r="O57" i="8"/>
  <c r="B19" i="1"/>
  <c r="O62" i="8"/>
  <c r="Q62" i="8"/>
  <c r="E17" i="1"/>
  <c r="Q59" i="11"/>
  <c r="J17" i="1"/>
  <c r="D19" i="1"/>
  <c r="C71" i="10"/>
  <c r="G17" i="1"/>
  <c r="R124" i="10"/>
  <c r="D16" i="1"/>
  <c r="G59" i="14"/>
  <c r="H17" i="1"/>
  <c r="C11" i="1"/>
  <c r="C7" i="1"/>
  <c r="C16" i="1"/>
  <c r="F17" i="1"/>
  <c r="Q57" i="10"/>
  <c r="C9" i="1"/>
  <c r="C18" i="1"/>
  <c r="H59" i="16"/>
  <c r="G71" i="9"/>
  <c r="M62" i="9"/>
  <c r="L62" i="9"/>
  <c r="Q124" i="8"/>
  <c r="C125" i="8"/>
  <c r="C136" i="8"/>
  <c r="Q123" i="8"/>
  <c r="C138" i="8"/>
  <c r="L59" i="9"/>
  <c r="K59" i="12"/>
  <c r="I59" i="13"/>
  <c r="D17" i="1" l="1"/>
  <c r="Q59" i="10"/>
  <c r="C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thanh.nguyen</author>
  </authors>
  <commentList>
    <comment ref="C5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joji.kume:</t>
        </r>
        <r>
          <rPr>
            <sz val="9"/>
            <color indexed="81"/>
            <rFont val="Tahoma"/>
            <family val="2"/>
          </rPr>
          <t xml:space="preserve">
Transfers to RTA, pledged revenue &amp; PIC</t>
        </r>
      </text>
    </comment>
  </commentList>
</comments>
</file>

<file path=xl/sharedStrings.xml><?xml version="1.0" encoding="utf-8"?>
<sst xmlns="http://schemas.openxmlformats.org/spreadsheetml/2006/main" count="1371" uniqueCount="246">
  <si>
    <t>Network of California Fairs</t>
  </si>
  <si>
    <t>Class 1</t>
  </si>
  <si>
    <t>Class 2</t>
  </si>
  <si>
    <t>Class 3</t>
  </si>
  <si>
    <t>Class 3+</t>
  </si>
  <si>
    <t>Class 4</t>
  </si>
  <si>
    <t>Class 4+</t>
  </si>
  <si>
    <t>Class 5</t>
  </si>
  <si>
    <t>Class 6</t>
  </si>
  <si>
    <t>Class 7</t>
  </si>
  <si>
    <t>Number of Fairs</t>
  </si>
  <si>
    <t>Average Reserves by Dollars ($)</t>
  </si>
  <si>
    <t>Average Reserves by Percentage (%)</t>
  </si>
  <si>
    <t>Reserves High By Dollars ($)</t>
  </si>
  <si>
    <t>Reserves High By Percentage (%)</t>
  </si>
  <si>
    <t>Reserves Low By Dollars ($)</t>
  </si>
  <si>
    <t>Reserves Low By Percentage (%)</t>
  </si>
  <si>
    <t>Average Operating Revenues ($)</t>
  </si>
  <si>
    <t>Average Operating Expenditures ($)</t>
  </si>
  <si>
    <t>Average Operating Profit/(Loss) BEFORE Depreciation ($)</t>
  </si>
  <si>
    <t>Average Operating Profit/(Loss) AFTER Depreciation ($)</t>
  </si>
  <si>
    <t>Average Net Profit/(Loss) BEFORE Depreciation ($)</t>
  </si>
  <si>
    <t>Average Net Profit/(Loss) AFTER Depreciation ($)</t>
  </si>
  <si>
    <t>Average Number of Permanent Positions *</t>
  </si>
  <si>
    <t>Average Paid Fair Attendance</t>
  </si>
  <si>
    <t>Average Free Fair Attendance</t>
  </si>
  <si>
    <t>Average Total Fair Attendance</t>
  </si>
  <si>
    <t xml:space="preserve">Note:  Reserves refers to Unrestricted Net Resources Available for Operations. </t>
  </si>
  <si>
    <t>*  Not all permanent positions are full-time positions.</t>
  </si>
  <si>
    <t>10-A DAA, Tulelake-Butte Valley Fair</t>
  </si>
  <si>
    <t>33rd DAA,      San Benito County Fair</t>
  </si>
  <si>
    <t>34th DAA, Modoc-Last Frontier Fair</t>
  </si>
  <si>
    <t>51st DAA,       The Valley Fair</t>
  </si>
  <si>
    <t>52nd DAA, Sacramento County Fair</t>
  </si>
  <si>
    <t>53rd DAA, Desert Empire Fair</t>
  </si>
  <si>
    <t>Chowchilla- Madera County Fair</t>
  </si>
  <si>
    <t>Mendocino County Fair</t>
  </si>
  <si>
    <t>Trinity County Fair</t>
  </si>
  <si>
    <t>consolidated averages</t>
  </si>
  <si>
    <t>DAA-totals</t>
  </si>
  <si>
    <t>Unrestricted - Available for Operations</t>
  </si>
  <si>
    <t>Restricted Resources</t>
  </si>
  <si>
    <t>Investment in Capital Assets</t>
  </si>
  <si>
    <t>Total Net Resources</t>
  </si>
  <si>
    <t>Resources Acquired:</t>
  </si>
  <si>
    <t>State Allocation</t>
  </si>
  <si>
    <t>Capital Project Reimbursement Funds</t>
  </si>
  <si>
    <t>Other</t>
  </si>
  <si>
    <t>Operating Revenues:</t>
  </si>
  <si>
    <t>Admissions to Grounds</t>
  </si>
  <si>
    <t>Industrial and Commercial Space</t>
  </si>
  <si>
    <t>Carnivals</t>
  </si>
  <si>
    <t>Concessions</t>
  </si>
  <si>
    <t>Exhibits</t>
  </si>
  <si>
    <t>Horse Show</t>
  </si>
  <si>
    <t>Horse Racing (Fairtime Pari-Mutuel)</t>
  </si>
  <si>
    <t>Horse Racing (Satellite Wagering)</t>
  </si>
  <si>
    <t>Fair Attractions</t>
  </si>
  <si>
    <t>Motorized Racing</t>
  </si>
  <si>
    <t>Interim Attractions</t>
  </si>
  <si>
    <t>Miscellaneous Fair</t>
  </si>
  <si>
    <t xml:space="preserve">Miscellaneous Non-Fair </t>
  </si>
  <si>
    <t>Interim Revenue</t>
  </si>
  <si>
    <t>Prior Year Revenue Adjustment</t>
  </si>
  <si>
    <t>Other Operating Revenue</t>
  </si>
  <si>
    <t>total "other operating revenues"-SCO GAAP report</t>
  </si>
  <si>
    <t>Total Operating Revenues</t>
  </si>
  <si>
    <t>total operating revenues + resources acquired</t>
  </si>
  <si>
    <t>Operating Expenditures:</t>
  </si>
  <si>
    <t>Administration</t>
  </si>
  <si>
    <t>Maintenance &amp; General Operations</t>
  </si>
  <si>
    <t>Publicity</t>
  </si>
  <si>
    <t>Attendance Operations</t>
  </si>
  <si>
    <t>Miscellaneous Non-Fair Programs</t>
  </si>
  <si>
    <t xml:space="preserve">Premiums </t>
  </si>
  <si>
    <t>Fair Entertainment Expense</t>
  </si>
  <si>
    <t>Interim Entertainment Expense</t>
  </si>
  <si>
    <t>Equipment Funded by Fair</t>
  </si>
  <si>
    <t>Prior Year Expense Adjustment</t>
  </si>
  <si>
    <t>Cash (Over/Under)</t>
  </si>
  <si>
    <t>Other Operating Expense</t>
  </si>
  <si>
    <t>Total Operating Expenditures</t>
  </si>
  <si>
    <t>Other Addition/(Reduction) in Resources</t>
  </si>
  <si>
    <t>Depreciation Expense</t>
  </si>
  <si>
    <t>Reserve Percentage</t>
  </si>
  <si>
    <t>Check Figure</t>
  </si>
  <si>
    <t>(operating revenues less operating expenditures).</t>
  </si>
  <si>
    <t xml:space="preserve">(operating revenues and resources acquired) and all expenditures </t>
  </si>
  <si>
    <t>(operating expenditures and depreciation expense).</t>
  </si>
  <si>
    <t>Statement of Financial Condition</t>
  </si>
  <si>
    <t>Assets</t>
  </si>
  <si>
    <t>Cash:</t>
  </si>
  <si>
    <t xml:space="preserve">    Restricted Cash</t>
  </si>
  <si>
    <t xml:space="preserve">    Available Cash</t>
  </si>
  <si>
    <t>Accounts Receivable</t>
  </si>
  <si>
    <t>Deferred Charges</t>
  </si>
  <si>
    <t>Other Assets</t>
  </si>
  <si>
    <t>Construction in Progress</t>
  </si>
  <si>
    <t>Land</t>
  </si>
  <si>
    <t>Buildings and Improvements</t>
  </si>
  <si>
    <t>Equipment</t>
  </si>
  <si>
    <t>Leasehold Improvements</t>
  </si>
  <si>
    <t>Less Accumulated Depreciation</t>
  </si>
  <si>
    <t>Adjustment for rounding</t>
  </si>
  <si>
    <t>Total Assets</t>
  </si>
  <si>
    <t>Insurance Fees Payable</t>
  </si>
  <si>
    <t>Accounts Payable</t>
  </si>
  <si>
    <t>Payroll Liabilities</t>
  </si>
  <si>
    <t>Deferred Revenue</t>
  </si>
  <si>
    <t>Other Liabilities</t>
  </si>
  <si>
    <t>Guarantee Deposits</t>
  </si>
  <si>
    <t>Compensated Absences Liability</t>
  </si>
  <si>
    <t>Long Term Debt</t>
  </si>
  <si>
    <t>Net Resources</t>
  </si>
  <si>
    <t>Junior Livestock Auction Reserve</t>
  </si>
  <si>
    <t xml:space="preserve">Investment in Capital Assets </t>
  </si>
  <si>
    <t>Profit margin ratio (operating profit/(loss) BEFORE depreciation)/total operating revenues)</t>
  </si>
  <si>
    <t>This ratio describes a Fair’s ability to earn net profit from operating revenues.</t>
  </si>
  <si>
    <t>Debt ratio (total obligations/total assets)</t>
  </si>
  <si>
    <t>This ratio measures what portion of a Fair's assets are contributed by debt.</t>
  </si>
  <si>
    <t>Equity ratio (total net resources/total assets)</t>
  </si>
  <si>
    <t>This ratio measures what portion of a Fair's assets are contributed by revenues.</t>
  </si>
  <si>
    <t>Debt to equity ratio (total obligations/total net resources)</t>
  </si>
  <si>
    <t>This ratio measures the solvency of Fairs.</t>
  </si>
  <si>
    <t># of Permanent Positions</t>
  </si>
  <si>
    <t>Paid Fair Admissions</t>
  </si>
  <si>
    <t>Free Fair Admissions</t>
  </si>
  <si>
    <t xml:space="preserve">Total Admissions </t>
  </si>
  <si>
    <t>29th DAA, Mother Lode Fair</t>
  </si>
  <si>
    <t>35-A DAA, Mariposa County Fair</t>
  </si>
  <si>
    <t>41st DAA, 
Del Norte County Fair</t>
  </si>
  <si>
    <t xml:space="preserve">42nd DAA, Glenn County Fair </t>
  </si>
  <si>
    <t>44th DAA, Colusa County Fair</t>
  </si>
  <si>
    <t>49th DAA, Lake County Fair</t>
  </si>
  <si>
    <t>Butte County Fair</t>
  </si>
  <si>
    <t>averages-all</t>
  </si>
  <si>
    <t>9th DAA, Redwood Acres Fair</t>
  </si>
  <si>
    <t>10th DAA, Siskiyou Golden Fair</t>
  </si>
  <si>
    <t>12th DAA, Redwood Empire Fair</t>
  </si>
  <si>
    <t>13th DAA,   Yuba Sutter Fair</t>
  </si>
  <si>
    <t>20th DAA,    Gold Country Fair</t>
  </si>
  <si>
    <t>24-A DAA,    Kings Fair</t>
  </si>
  <si>
    <t>26th DAA, Amador County Fair</t>
  </si>
  <si>
    <t>30th DAA, Tehama District Fair</t>
  </si>
  <si>
    <t>39th DAA, Calaveras County Fair</t>
  </si>
  <si>
    <t>40th DAA,    Yolo County Fair</t>
  </si>
  <si>
    <t>Merced County Spring Fair</t>
  </si>
  <si>
    <t>Lodi Grape Festival &amp; Harvest Fair</t>
  </si>
  <si>
    <t>Miscellaneous Non-Fair</t>
  </si>
  <si>
    <t>Construction In Progress</t>
  </si>
  <si>
    <t>Check figures</t>
  </si>
  <si>
    <t>3rd DAA,     Silver Dollar Fair</t>
  </si>
  <si>
    <t>4th DAA, Sonoma Marin Fair</t>
  </si>
  <si>
    <t>14th DAA,     Santa Cruz County Fair</t>
  </si>
  <si>
    <t>21-A DAA, Madera District Fair</t>
  </si>
  <si>
    <t>25th DAA,     Napa Town &amp; Country Fair</t>
  </si>
  <si>
    <t>27th DAA, Shasta District Fair</t>
  </si>
  <si>
    <t>36th DAA,    Dixon May Fair</t>
  </si>
  <si>
    <t>45th DAA, California Mid- Winter Fair</t>
  </si>
  <si>
    <t>El Dorado County Fair</t>
  </si>
  <si>
    <t>Humboldt County Fair</t>
  </si>
  <si>
    <t>Salinas Valley Fair</t>
  </si>
  <si>
    <t xml:space="preserve">Adjustment for rounding </t>
  </si>
  <si>
    <t>7th DAA, Monterey County Fair</t>
  </si>
  <si>
    <t>17th DAA, Nevada County Fair</t>
  </si>
  <si>
    <t>19th DAA,     Santa Barbara Fair</t>
  </si>
  <si>
    <t>24th DAA, 
Tulare County Fair</t>
  </si>
  <si>
    <t>28th DAA,       San Bernardino County Fair</t>
  </si>
  <si>
    <t>35th DAA, Merced County Fair</t>
  </si>
  <si>
    <t>2nd DAA,         San Joaquin County Fair</t>
  </si>
  <si>
    <t>38th DAA, Stanislaus County Fair</t>
  </si>
  <si>
    <t>46th DAA, Southern California Fair</t>
  </si>
  <si>
    <t>Santa Clara County Fair</t>
  </si>
  <si>
    <t>Solano County Fair</t>
  </si>
  <si>
    <t xml:space="preserve"> </t>
  </si>
  <si>
    <t>1-A DAA,     Grand National Rodeo &amp; Show</t>
  </si>
  <si>
    <t>15th DAA,        Kern County Fair</t>
  </si>
  <si>
    <t>(May include permanent intermittents)</t>
  </si>
  <si>
    <t xml:space="preserve">16th DAA, California Mid-State Fair          </t>
  </si>
  <si>
    <t>21st DAA, 
The Big Fresno Fair</t>
  </si>
  <si>
    <t>31st DAA, Ventura County Fair</t>
  </si>
  <si>
    <t>National Orange Show</t>
  </si>
  <si>
    <t>Computer Software, Land Use Rights, etc.</t>
  </si>
  <si>
    <t>22nd DAA, 
San Diego County Fair</t>
  </si>
  <si>
    <t>32nd DAA, Orange County Fair</t>
  </si>
  <si>
    <t>Alameda County Fair</t>
  </si>
  <si>
    <t>California Exposition and State Fair 
(Cal Expo)</t>
  </si>
  <si>
    <t xml:space="preserve">Reserve Percentage </t>
  </si>
  <si>
    <t>50th DAA, Antelope Valley Fair*</t>
  </si>
  <si>
    <t>Average Leave Liability</t>
  </si>
  <si>
    <t>Quick Ratio [(current assets - inventories) / current liabilities]</t>
  </si>
  <si>
    <t>The quick ratio measures the Fair's ability to meet its short-term obligations with its most liquid assets. Higher the quick ratio, the better the Fair's liquidity position.</t>
  </si>
  <si>
    <t>Quick Ratio* (with compensated absences liability)</t>
  </si>
  <si>
    <t>This version of the quick ratio is more conservative as compensated absence liability is included as a part of current liabilities.</t>
  </si>
  <si>
    <t>Average Profit Margin Ratio (Operations Only)</t>
  </si>
  <si>
    <t xml:space="preserve">Net Operating Profit/(Loss) </t>
  </si>
  <si>
    <t xml:space="preserve">represents income or loss from operating actvities only </t>
  </si>
  <si>
    <r>
      <rPr>
        <b/>
        <i/>
        <sz val="9"/>
        <rFont val="Arial"/>
        <family val="2"/>
      </rPr>
      <t>Net Profit/(Loss)</t>
    </r>
    <r>
      <rPr>
        <i/>
        <sz val="9"/>
        <rFont val="Arial"/>
        <family val="2"/>
      </rPr>
      <t xml:space="preserve"> includes all sources of revenues</t>
    </r>
  </si>
  <si>
    <t>San Mateo County Fair</t>
  </si>
  <si>
    <t>54th DAA, Colorado River Country Fair</t>
  </si>
  <si>
    <t>Cloverdale Citrus Fair</t>
  </si>
  <si>
    <t>Pension Expense</t>
  </si>
  <si>
    <t>Total Assets &amp; Deferred Outflows of Resources</t>
  </si>
  <si>
    <t>Liabilities</t>
  </si>
  <si>
    <t>Total Liabilities &amp; Deferred Inflows of Resources</t>
  </si>
  <si>
    <t>Deferred Outflows of Resources</t>
  </si>
  <si>
    <t>Deferred Inflows of Resources</t>
  </si>
  <si>
    <t>Total Liabilities</t>
  </si>
  <si>
    <t>Net Pension Liability</t>
  </si>
  <si>
    <t>Total Liabilities, Deferred Inflows of Resources, and Net Resources</t>
  </si>
  <si>
    <t>23rd DAA, Contra Costa County Fair</t>
  </si>
  <si>
    <t>Inter-Mountain Fair</t>
  </si>
  <si>
    <t>Los Angeles County Fair</t>
  </si>
  <si>
    <t>Marin County Fair</t>
  </si>
  <si>
    <t>Unrestricted Net Position - Pension</t>
  </si>
  <si>
    <t>2017 STOP Statistical Summary</t>
  </si>
  <si>
    <t>Column1</t>
  </si>
  <si>
    <t>Total Operating Revenues ($)</t>
  </si>
  <si>
    <t>Total Operating Expenditures ($)</t>
  </si>
  <si>
    <t>Napa County Fair</t>
  </si>
  <si>
    <t>Placer County Fair</t>
  </si>
  <si>
    <t xml:space="preserve">18th DAA, Eastern Sierra Tri-County Fair    </t>
  </si>
  <si>
    <t>48th DAA, Schools' Agriculture &amp; Nutrition Program</t>
  </si>
  <si>
    <t>n/a</t>
  </si>
  <si>
    <t>Sonoma County Fair</t>
  </si>
  <si>
    <t>37th DAA,     Santa Maria Fairpark</t>
  </si>
  <si>
    <t>Prior Year Adjustment(s)</t>
  </si>
  <si>
    <t>Beginning Net Resources 1/1/2018</t>
  </si>
  <si>
    <t>Ending Net Resources 12/31/2018</t>
  </si>
  <si>
    <t>OPEB Expense</t>
  </si>
  <si>
    <t>Net Operating Profit/(Loss) BEFORE Depreciation, Pension, OPEB</t>
  </si>
  <si>
    <t>Net Operating Profit/(Loss) AFTER Depreciation, Pension, OPEB</t>
  </si>
  <si>
    <t>Net Profit/(Loss) BEFORE Depreciation, Pension, OPEB</t>
  </si>
  <si>
    <t>Net Profit/(Loss) AFTER Depreciation, Pension, OPEB</t>
  </si>
  <si>
    <t>Unrestricted - Net Position Pension/OPEB</t>
  </si>
  <si>
    <t>Lassen County Fair FY 17/18</t>
  </si>
  <si>
    <t>Plumas-Sierra County Fair 
FY 17/18</t>
  </si>
  <si>
    <t>Riverside County Fair &amp; National Date Festival
FY 17/18</t>
  </si>
  <si>
    <t>Net OPEB Liability</t>
  </si>
  <si>
    <t>Net Operating Profit/(Loss) AFTER Depreciation</t>
  </si>
  <si>
    <t>Net Profit/(Loss) AFTER Depreciation</t>
  </si>
  <si>
    <t>Reserves High By Dollars ($) (Range High End)</t>
  </si>
  <si>
    <t>Reserves Low By Dollars ($) (Range Low End)</t>
  </si>
  <si>
    <t>Median Reserves by Dollars ($)</t>
  </si>
  <si>
    <t>Median Reserves by Percentage (%)</t>
  </si>
  <si>
    <t>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</si>
</sst>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67" formatCode="#,##0.0_);[Red]\(#,##0.0\)"/>
    <numFmt numFmtId="168" formatCode="0.000%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sz val="11"/>
      <color rgb="FFFF0000"/>
      <name val="Arial"/>
      <family val="2"/>
    </font>
    <font>
      <sz val="10"/>
      <color rgb="FF00B0F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i/>
      <sz val="9"/>
      <name val="Arial"/>
      <family val="2"/>
    </font>
    <font>
      <sz val="11"/>
      <color theme="1"/>
      <name val="Arial"/>
      <family val="2"/>
    </font>
    <font>
      <i/>
      <sz val="9"/>
      <color theme="1"/>
      <name val="Arial"/>
      <family val="2"/>
    </font>
    <font>
      <sz val="11"/>
      <color theme="0"/>
      <name val="Arial"/>
      <family val="2"/>
    </font>
    <font>
      <b/>
      <sz val="12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24"/>
      <name val="Arial"/>
      <family val="2"/>
    </font>
    <font>
      <sz val="10"/>
      <name val="Univers (WN)"/>
    </font>
    <font>
      <b/>
      <u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/>
    <xf numFmtId="0" fontId="17" fillId="0" borderId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>
      <alignment horizontal="centerContinuous"/>
    </xf>
  </cellStyleXfs>
  <cellXfs count="358">
    <xf numFmtId="0" fontId="0" fillId="0" borderId="0" xfId="0"/>
    <xf numFmtId="0" fontId="1" fillId="0" borderId="0" xfId="3" applyAlignment="1"/>
    <xf numFmtId="0" fontId="3" fillId="0" borderId="0" xfId="3" applyFont="1"/>
    <xf numFmtId="0" fontId="1" fillId="0" borderId="0" xfId="3" applyBorder="1"/>
    <xf numFmtId="0" fontId="1" fillId="0" borderId="0" xfId="3"/>
    <xf numFmtId="0" fontId="1" fillId="0" borderId="0" xfId="3" applyAlignment="1">
      <alignment vertical="center"/>
    </xf>
    <xf numFmtId="0" fontId="1" fillId="0" borderId="0" xfId="3" applyFill="1" applyAlignment="1">
      <alignment vertical="center"/>
    </xf>
    <xf numFmtId="0" fontId="8" fillId="0" borderId="0" xfId="3" applyFont="1"/>
    <xf numFmtId="0" fontId="5" fillId="0" borderId="0" xfId="3" applyFont="1" applyFill="1" applyBorder="1" applyAlignment="1">
      <alignment vertical="center" wrapText="1"/>
    </xf>
    <xf numFmtId="165" fontId="4" fillId="0" borderId="0" xfId="1" applyNumberFormat="1" applyFont="1" applyBorder="1" applyAlignment="1">
      <alignment vertical="center"/>
    </xf>
    <xf numFmtId="0" fontId="1" fillId="0" borderId="0" xfId="3" applyFont="1"/>
    <xf numFmtId="0" fontId="1" fillId="0" borderId="0" xfId="3" applyFont="1" applyAlignment="1">
      <alignment wrapText="1"/>
    </xf>
    <xf numFmtId="0" fontId="10" fillId="0" borderId="8" xfId="3" applyFont="1" applyBorder="1"/>
    <xf numFmtId="6" fontId="1" fillId="4" borderId="4" xfId="3" applyNumberFormat="1" applyFont="1" applyFill="1" applyBorder="1"/>
    <xf numFmtId="6" fontId="1" fillId="0" borderId="4" xfId="3" applyNumberFormat="1" applyFont="1" applyBorder="1"/>
    <xf numFmtId="6" fontId="1" fillId="0" borderId="4" xfId="3" applyNumberFormat="1" applyFont="1" applyFill="1" applyBorder="1"/>
    <xf numFmtId="38" fontId="1" fillId="4" borderId="1" xfId="3" applyNumberFormat="1" applyFont="1" applyFill="1" applyBorder="1"/>
    <xf numFmtId="38" fontId="1" fillId="0" borderId="1" xfId="3" applyNumberFormat="1" applyFont="1" applyFill="1" applyBorder="1"/>
    <xf numFmtId="38" fontId="1" fillId="4" borderId="4" xfId="3" applyNumberFormat="1" applyFont="1" applyFill="1" applyBorder="1"/>
    <xf numFmtId="38" fontId="1" fillId="0" borderId="4" xfId="3" applyNumberFormat="1" applyFont="1" applyFill="1" applyBorder="1"/>
    <xf numFmtId="38" fontId="1" fillId="0" borderId="0" xfId="3" applyNumberFormat="1" applyFont="1"/>
    <xf numFmtId="6" fontId="10" fillId="5" borderId="7" xfId="3" applyNumberFormat="1" applyFont="1" applyFill="1" applyBorder="1"/>
    <xf numFmtId="0" fontId="1" fillId="5" borderId="0" xfId="3" applyFont="1" applyFill="1"/>
    <xf numFmtId="0" fontId="1" fillId="5" borderId="8" xfId="3" applyFont="1" applyFill="1" applyBorder="1"/>
    <xf numFmtId="38" fontId="1" fillId="5" borderId="4" xfId="3" applyNumberFormat="1" applyFont="1" applyFill="1" applyBorder="1"/>
    <xf numFmtId="0" fontId="10" fillId="0" borderId="9" xfId="3" applyFont="1" applyBorder="1"/>
    <xf numFmtId="0" fontId="1" fillId="4" borderId="1" xfId="3" applyFont="1" applyFill="1" applyBorder="1"/>
    <xf numFmtId="0" fontId="1" fillId="0" borderId="1" xfId="3" applyFont="1" applyBorder="1"/>
    <xf numFmtId="0" fontId="1" fillId="0" borderId="1" xfId="3" applyFont="1" applyFill="1" applyBorder="1"/>
    <xf numFmtId="0" fontId="1" fillId="0" borderId="8" xfId="3" applyFont="1" applyBorder="1"/>
    <xf numFmtId="38" fontId="1" fillId="0" borderId="4" xfId="3" applyNumberFormat="1" applyFont="1" applyBorder="1"/>
    <xf numFmtId="38" fontId="1" fillId="0" borderId="1" xfId="3" applyNumberFormat="1" applyFont="1" applyBorder="1"/>
    <xf numFmtId="0" fontId="1" fillId="5" borderId="10" xfId="3" applyFont="1" applyFill="1" applyBorder="1"/>
    <xf numFmtId="38" fontId="1" fillId="5" borderId="11" xfId="3" applyNumberFormat="1" applyFont="1" applyFill="1" applyBorder="1"/>
    <xf numFmtId="38" fontId="1" fillId="5" borderId="0" xfId="3" applyNumberFormat="1" applyFont="1" applyFill="1"/>
    <xf numFmtId="38" fontId="1" fillId="5" borderId="11" xfId="3" applyNumberFormat="1" applyFont="1" applyFill="1" applyBorder="1" applyProtection="1"/>
    <xf numFmtId="0" fontId="1" fillId="5" borderId="9" xfId="3" applyFont="1" applyFill="1" applyBorder="1"/>
    <xf numFmtId="6" fontId="10" fillId="4" borderId="4" xfId="3" applyNumberFormat="1" applyFont="1" applyFill="1" applyBorder="1"/>
    <xf numFmtId="6" fontId="10" fillId="0" borderId="4" xfId="3" applyNumberFormat="1" applyFont="1" applyBorder="1"/>
    <xf numFmtId="6" fontId="10" fillId="0" borderId="4" xfId="3" applyNumberFormat="1" applyFont="1" applyFill="1" applyBorder="1"/>
    <xf numFmtId="0" fontId="10" fillId="0" borderId="0" xfId="3" applyFont="1"/>
    <xf numFmtId="0" fontId="10" fillId="5" borderId="9" xfId="3" applyFont="1" applyFill="1" applyBorder="1"/>
    <xf numFmtId="38" fontId="1" fillId="5" borderId="1" xfId="3" applyNumberFormat="1" applyFont="1" applyFill="1" applyBorder="1"/>
    <xf numFmtId="0" fontId="10" fillId="5" borderId="0" xfId="3" applyFont="1" applyFill="1"/>
    <xf numFmtId="10" fontId="1" fillId="6" borderId="0" xfId="2" applyNumberFormat="1" applyFont="1" applyFill="1"/>
    <xf numFmtId="0" fontId="1" fillId="6" borderId="0" xfId="3" applyFont="1" applyFill="1"/>
    <xf numFmtId="166" fontId="1" fillId="0" borderId="0" xfId="1" applyNumberFormat="1" applyFont="1" applyFill="1" applyBorder="1"/>
    <xf numFmtId="164" fontId="1" fillId="0" borderId="0" xfId="3" applyNumberFormat="1" applyFont="1"/>
    <xf numFmtId="0" fontId="1" fillId="0" borderId="0" xfId="3" applyFont="1" applyFill="1"/>
    <xf numFmtId="0" fontId="1" fillId="0" borderId="4" xfId="3" applyFont="1" applyFill="1" applyBorder="1" applyAlignment="1">
      <alignment horizontal="right"/>
    </xf>
    <xf numFmtId="0" fontId="1" fillId="0" borderId="0" xfId="3" applyFont="1" applyFill="1" applyBorder="1" applyAlignment="1">
      <alignment horizontal="left" vertical="center" wrapText="1"/>
    </xf>
    <xf numFmtId="0" fontId="1" fillId="0" borderId="0" xfId="3" applyFont="1" applyFill="1" applyBorder="1"/>
    <xf numFmtId="0" fontId="1" fillId="0" borderId="0" xfId="3" applyFont="1" applyFill="1" applyBorder="1" applyAlignment="1">
      <alignment horizontal="left" vertical="center"/>
    </xf>
    <xf numFmtId="0" fontId="1" fillId="4" borderId="4" xfId="3" applyFont="1" applyFill="1" applyBorder="1"/>
    <xf numFmtId="0" fontId="1" fillId="0" borderId="4" xfId="3" applyFont="1" applyBorder="1"/>
    <xf numFmtId="0" fontId="1" fillId="0" borderId="4" xfId="3" applyFont="1" applyFill="1" applyBorder="1"/>
    <xf numFmtId="6" fontId="1" fillId="0" borderId="0" xfId="3" applyNumberFormat="1" applyFont="1"/>
    <xf numFmtId="6" fontId="10" fillId="5" borderId="4" xfId="3" applyNumberFormat="1" applyFont="1" applyFill="1" applyBorder="1"/>
    <xf numFmtId="6" fontId="1" fillId="5" borderId="0" xfId="3" applyNumberFormat="1" applyFont="1" applyFill="1"/>
    <xf numFmtId="0" fontId="1" fillId="0" borderId="0" xfId="3" applyFont="1" applyBorder="1"/>
    <xf numFmtId="0" fontId="1" fillId="0" borderId="12" xfId="3" applyFont="1" applyBorder="1"/>
    <xf numFmtId="38" fontId="1" fillId="4" borderId="13" xfId="3" applyNumberFormat="1" applyFont="1" applyFill="1" applyBorder="1"/>
    <xf numFmtId="38" fontId="1" fillId="0" borderId="13" xfId="3" applyNumberFormat="1" applyFont="1" applyBorder="1"/>
    <xf numFmtId="38" fontId="1" fillId="0" borderId="13" xfId="3" applyNumberFormat="1" applyFont="1" applyFill="1" applyBorder="1"/>
    <xf numFmtId="0" fontId="1" fillId="5" borderId="12" xfId="3" applyFont="1" applyFill="1" applyBorder="1"/>
    <xf numFmtId="38" fontId="1" fillId="5" borderId="13" xfId="3" applyNumberFormat="1" applyFont="1" applyFill="1" applyBorder="1"/>
    <xf numFmtId="9" fontId="1" fillId="5" borderId="0" xfId="2" applyFont="1" applyFill="1"/>
    <xf numFmtId="6" fontId="10" fillId="5" borderId="11" xfId="3" applyNumberFormat="1" applyFont="1" applyFill="1" applyBorder="1"/>
    <xf numFmtId="0" fontId="10" fillId="0" borderId="0" xfId="3" applyFont="1" applyBorder="1"/>
    <xf numFmtId="43" fontId="1" fillId="0" borderId="0" xfId="1" applyFont="1" applyFill="1" applyBorder="1"/>
    <xf numFmtId="166" fontId="1" fillId="0" borderId="4" xfId="1" applyNumberFormat="1" applyFont="1" applyFill="1" applyBorder="1"/>
    <xf numFmtId="165" fontId="1" fillId="0" borderId="0" xfId="1" applyNumberFormat="1" applyFont="1"/>
    <xf numFmtId="0" fontId="1" fillId="0" borderId="0" xfId="3" applyFont="1" applyAlignment="1">
      <alignment horizontal="center"/>
    </xf>
    <xf numFmtId="0" fontId="1" fillId="4" borderId="0" xfId="3" applyFont="1" applyFill="1"/>
    <xf numFmtId="38" fontId="1" fillId="0" borderId="7" xfId="3" applyNumberFormat="1" applyFont="1" applyFill="1" applyBorder="1"/>
    <xf numFmtId="38" fontId="1" fillId="4" borderId="7" xfId="3" applyNumberFormat="1" applyFont="1" applyFill="1" applyBorder="1"/>
    <xf numFmtId="0" fontId="10" fillId="0" borderId="14" xfId="3" applyFont="1" applyBorder="1"/>
    <xf numFmtId="38" fontId="1" fillId="0" borderId="15" xfId="3" applyNumberFormat="1" applyFont="1" applyBorder="1"/>
    <xf numFmtId="38" fontId="1" fillId="4" borderId="15" xfId="3" applyNumberFormat="1" applyFont="1" applyFill="1" applyBorder="1"/>
    <xf numFmtId="38" fontId="1" fillId="0" borderId="15" xfId="3" applyNumberFormat="1" applyFont="1" applyFill="1" applyBorder="1"/>
    <xf numFmtId="166" fontId="1" fillId="5" borderId="0" xfId="1" applyNumberFormat="1" applyFont="1" applyFill="1"/>
    <xf numFmtId="166" fontId="1" fillId="2" borderId="0" xfId="1" applyNumberFormat="1" applyFont="1" applyFill="1"/>
    <xf numFmtId="0" fontId="1" fillId="2" borderId="0" xfId="3" applyFont="1" applyFill="1"/>
    <xf numFmtId="43" fontId="1" fillId="0" borderId="0" xfId="1" applyFont="1" applyBorder="1"/>
    <xf numFmtId="164" fontId="1" fillId="0" borderId="0" xfId="1" applyNumberFormat="1" applyFont="1"/>
    <xf numFmtId="43" fontId="1" fillId="0" borderId="0" xfId="1" applyFont="1"/>
    <xf numFmtId="0" fontId="1" fillId="7" borderId="0" xfId="3" applyFont="1" applyFill="1"/>
    <xf numFmtId="0" fontId="1" fillId="0" borderId="0" xfId="3" applyAlignment="1">
      <alignment horizontal="left" vertical="center" wrapText="1"/>
    </xf>
    <xf numFmtId="0" fontId="1" fillId="0" borderId="0" xfId="3" applyAlignment="1">
      <alignment wrapText="1"/>
    </xf>
    <xf numFmtId="0" fontId="1" fillId="0" borderId="4" xfId="3" applyFont="1" applyBorder="1" applyAlignment="1">
      <alignment horizontal="right"/>
    </xf>
    <xf numFmtId="0" fontId="10" fillId="0" borderId="0" xfId="3" applyFont="1" applyBorder="1" applyAlignment="1">
      <alignment horizontal="left" vertical="center"/>
    </xf>
    <xf numFmtId="0" fontId="1" fillId="0" borderId="0" xfId="3" applyFont="1" applyBorder="1" applyAlignment="1">
      <alignment horizontal="right"/>
    </xf>
    <xf numFmtId="3" fontId="1" fillId="0" borderId="0" xfId="3" applyNumberFormat="1" applyFont="1" applyBorder="1" applyAlignment="1">
      <alignment horizontal="right"/>
    </xf>
    <xf numFmtId="167" fontId="1" fillId="0" borderId="0" xfId="3" applyNumberFormat="1" applyFont="1" applyFill="1"/>
    <xf numFmtId="3" fontId="1" fillId="0" borderId="0" xfId="3" applyNumberFormat="1" applyFont="1"/>
    <xf numFmtId="166" fontId="1" fillId="0" borderId="0" xfId="1" applyNumberFormat="1" applyFont="1"/>
    <xf numFmtId="38" fontId="1" fillId="0" borderId="0" xfId="3" applyNumberFormat="1" applyFont="1" applyFill="1"/>
    <xf numFmtId="38" fontId="1" fillId="0" borderId="7" xfId="3" applyNumberFormat="1" applyFont="1" applyBorder="1"/>
    <xf numFmtId="0" fontId="10" fillId="5" borderId="10" xfId="3" applyFont="1" applyFill="1" applyBorder="1"/>
    <xf numFmtId="0" fontId="1" fillId="0" borderId="9" xfId="3" applyFont="1" applyBorder="1"/>
    <xf numFmtId="38" fontId="10" fillId="0" borderId="0" xfId="3" applyNumberFormat="1" applyFont="1"/>
    <xf numFmtId="0" fontId="10" fillId="2" borderId="0" xfId="3" applyFont="1" applyFill="1"/>
    <xf numFmtId="43" fontId="10" fillId="0" borderId="0" xfId="1" applyFont="1" applyBorder="1"/>
    <xf numFmtId="164" fontId="10" fillId="0" borderId="0" xfId="3" applyNumberFormat="1" applyFont="1"/>
    <xf numFmtId="43" fontId="1" fillId="0" borderId="0" xfId="1" applyFont="1" applyFill="1"/>
    <xf numFmtId="0" fontId="11" fillId="0" borderId="0" xfId="3" applyFont="1" applyFill="1" applyBorder="1" applyAlignment="1">
      <alignment horizontal="left" vertical="center"/>
    </xf>
    <xf numFmtId="38" fontId="1" fillId="0" borderId="8" xfId="3" applyNumberFormat="1" applyFont="1" applyBorder="1"/>
    <xf numFmtId="166" fontId="1" fillId="0" borderId="4" xfId="1" applyNumberFormat="1" applyFont="1" applyBorder="1"/>
    <xf numFmtId="0" fontId="1" fillId="0" borderId="0" xfId="3" applyFont="1" applyAlignment="1">
      <alignment vertical="center"/>
    </xf>
    <xf numFmtId="167" fontId="1" fillId="0" borderId="0" xfId="3" applyNumberFormat="1" applyFont="1"/>
    <xf numFmtId="43" fontId="10" fillId="5" borderId="0" xfId="1" applyFont="1" applyFill="1"/>
    <xf numFmtId="166" fontId="10" fillId="0" borderId="0" xfId="1" applyNumberFormat="1" applyFont="1"/>
    <xf numFmtId="10" fontId="1" fillId="0" borderId="0" xfId="2" applyNumberFormat="1" applyFont="1"/>
    <xf numFmtId="43" fontId="10" fillId="0" borderId="0" xfId="1" applyFont="1"/>
    <xf numFmtId="166" fontId="10" fillId="5" borderId="0" xfId="1" applyNumberFormat="1" applyFont="1" applyFill="1"/>
    <xf numFmtId="43" fontId="1" fillId="5" borderId="0" xfId="1" applyFont="1" applyFill="1"/>
    <xf numFmtId="10" fontId="10" fillId="2" borderId="0" xfId="3" applyNumberFormat="1" applyFont="1" applyFill="1"/>
    <xf numFmtId="10" fontId="1" fillId="0" borderId="0" xfId="1" applyNumberFormat="1" applyFont="1"/>
    <xf numFmtId="10" fontId="1" fillId="0" borderId="0" xfId="3" applyNumberFormat="1" applyFont="1"/>
    <xf numFmtId="10" fontId="1" fillId="2" borderId="0" xfId="2" applyNumberFormat="1" applyFont="1" applyFill="1"/>
    <xf numFmtId="168" fontId="1" fillId="0" borderId="0" xfId="3" applyNumberFormat="1" applyFont="1"/>
    <xf numFmtId="0" fontId="1" fillId="0" borderId="8" xfId="3" applyFont="1" applyFill="1" applyBorder="1"/>
    <xf numFmtId="38" fontId="10" fillId="5" borderId="4" xfId="3" applyNumberFormat="1" applyFont="1" applyFill="1" applyBorder="1"/>
    <xf numFmtId="43" fontId="10" fillId="0" borderId="0" xfId="1" applyFont="1" applyFill="1" applyBorder="1"/>
    <xf numFmtId="166" fontId="1" fillId="0" borderId="0" xfId="1" applyNumberFormat="1" applyFont="1" applyAlignment="1">
      <alignment horizontal="center"/>
    </xf>
    <xf numFmtId="166" fontId="1" fillId="0" borderId="0" xfId="3" applyNumberFormat="1" applyFont="1"/>
    <xf numFmtId="10" fontId="12" fillId="0" borderId="0" xfId="2" applyNumberFormat="1" applyFont="1"/>
    <xf numFmtId="0" fontId="1" fillId="0" borderId="0" xfId="3" applyFont="1" applyBorder="1" applyAlignment="1">
      <alignment horizontal="center" vertical="top" wrapText="1"/>
    </xf>
    <xf numFmtId="0" fontId="1" fillId="0" borderId="0" xfId="3" applyFont="1" applyFill="1" applyBorder="1" applyAlignment="1">
      <alignment horizontal="center" vertical="top" wrapText="1"/>
    </xf>
    <xf numFmtId="166" fontId="1" fillId="5" borderId="0" xfId="3" applyNumberFormat="1" applyFont="1" applyFill="1"/>
    <xf numFmtId="38" fontId="1" fillId="7" borderId="15" xfId="3" applyNumberFormat="1" applyFont="1" applyFill="1" applyBorder="1"/>
    <xf numFmtId="166" fontId="10" fillId="0" borderId="0" xfId="1" applyNumberFormat="1" applyFont="1" applyAlignment="1">
      <alignment horizontal="left"/>
    </xf>
    <xf numFmtId="6" fontId="10" fillId="5" borderId="0" xfId="3" applyNumberFormat="1" applyFont="1" applyFill="1" applyBorder="1"/>
    <xf numFmtId="165" fontId="1" fillId="0" borderId="0" xfId="3" applyNumberFormat="1" applyFont="1"/>
    <xf numFmtId="0" fontId="1" fillId="0" borderId="0" xfId="3" applyFont="1" applyFill="1" applyBorder="1" applyAlignment="1">
      <alignment vertical="center"/>
    </xf>
    <xf numFmtId="0" fontId="1" fillId="0" borderId="0" xfId="3" applyAlignment="1">
      <alignment horizontal="left" vertical="center"/>
    </xf>
    <xf numFmtId="0" fontId="1" fillId="0" borderId="0" xfId="3" applyAlignment="1">
      <alignment horizontal="left"/>
    </xf>
    <xf numFmtId="0" fontId="1" fillId="0" borderId="0" xfId="3" applyFont="1" applyAlignment="1">
      <alignment horizontal="left"/>
    </xf>
    <xf numFmtId="0" fontId="10" fillId="0" borderId="0" xfId="3" applyFont="1"/>
    <xf numFmtId="43" fontId="1" fillId="0" borderId="0" xfId="1" applyFont="1" applyBorder="1" applyAlignment="1"/>
    <xf numFmtId="0" fontId="1" fillId="0" borderId="0" xfId="3" applyFont="1" applyAlignment="1"/>
    <xf numFmtId="43" fontId="1" fillId="0" borderId="0" xfId="1" applyFont="1" applyBorder="1" applyAlignment="1">
      <alignment horizontal="left"/>
    </xf>
    <xf numFmtId="0" fontId="1" fillId="0" borderId="0" xfId="3" applyFill="1" applyAlignment="1"/>
    <xf numFmtId="0" fontId="1" fillId="0" borderId="0" xfId="3" applyFont="1" applyFill="1" applyAlignment="1"/>
    <xf numFmtId="0" fontId="1" fillId="0" borderId="0" xfId="3" applyFill="1" applyAlignment="1">
      <alignment horizontal="left" vertical="center"/>
    </xf>
    <xf numFmtId="0" fontId="1" fillId="0" borderId="0" xfId="3" applyFill="1" applyAlignment="1">
      <alignment horizontal="left"/>
    </xf>
    <xf numFmtId="43" fontId="1" fillId="0" borderId="0" xfId="1" applyFont="1" applyFill="1" applyBorder="1" applyAlignment="1"/>
    <xf numFmtId="43" fontId="11" fillId="0" borderId="0" xfId="1" applyFont="1" applyFill="1" applyBorder="1" applyAlignment="1"/>
    <xf numFmtId="166" fontId="1" fillId="0" borderId="0" xfId="1" applyNumberFormat="1" applyFont="1" applyFill="1" applyBorder="1" applyAlignment="1">
      <alignment horizontal="left"/>
    </xf>
    <xf numFmtId="0" fontId="1" fillId="4" borderId="9" xfId="3" applyFont="1" applyFill="1" applyBorder="1" applyAlignment="1"/>
    <xf numFmtId="0" fontId="10" fillId="3" borderId="0" xfId="3" applyFont="1" applyFill="1"/>
    <xf numFmtId="0" fontId="1" fillId="3" borderId="0" xfId="3" applyFont="1" applyFill="1"/>
    <xf numFmtId="0" fontId="19" fillId="3" borderId="16" xfId="0" applyFont="1" applyFill="1" applyBorder="1"/>
    <xf numFmtId="0" fontId="20" fillId="3" borderId="3" xfId="0" applyFont="1" applyFill="1" applyBorder="1" applyAlignment="1">
      <alignment wrapText="1"/>
    </xf>
    <xf numFmtId="9" fontId="1" fillId="3" borderId="3" xfId="2" applyFont="1" applyFill="1" applyBorder="1"/>
    <xf numFmtId="9" fontId="1" fillId="3" borderId="8" xfId="2" applyFont="1" applyFill="1" applyBorder="1"/>
    <xf numFmtId="0" fontId="10" fillId="3" borderId="16" xfId="3" applyFont="1" applyFill="1" applyBorder="1"/>
    <xf numFmtId="0" fontId="1" fillId="3" borderId="3" xfId="3" applyFont="1" applyFill="1" applyBorder="1"/>
    <xf numFmtId="43" fontId="1" fillId="3" borderId="3" xfId="1" applyFont="1" applyFill="1" applyBorder="1"/>
    <xf numFmtId="166" fontId="1" fillId="3" borderId="3" xfId="1" applyNumberFormat="1" applyFont="1" applyFill="1" applyBorder="1"/>
    <xf numFmtId="43" fontId="1" fillId="3" borderId="8" xfId="1" applyFont="1" applyFill="1" applyBorder="1"/>
    <xf numFmtId="166" fontId="1" fillId="0" borderId="7" xfId="1" applyNumberFormat="1" applyFont="1" applyFill="1" applyBorder="1"/>
    <xf numFmtId="0" fontId="1" fillId="3" borderId="16" xfId="3" applyFont="1" applyFill="1" applyBorder="1"/>
    <xf numFmtId="0" fontId="1" fillId="3" borderId="8" xfId="3" applyFont="1" applyFill="1" applyBorder="1"/>
    <xf numFmtId="3" fontId="1" fillId="0" borderId="4" xfId="3" applyNumberFormat="1" applyFont="1" applyFill="1" applyBorder="1"/>
    <xf numFmtId="166" fontId="1" fillId="3" borderId="0" xfId="1" applyNumberFormat="1" applyFont="1" applyFill="1"/>
    <xf numFmtId="165" fontId="1" fillId="3" borderId="0" xfId="1" applyNumberFormat="1" applyFont="1" applyFill="1"/>
    <xf numFmtId="43" fontId="1" fillId="3" borderId="0" xfId="1" applyFont="1" applyFill="1"/>
    <xf numFmtId="43" fontId="10" fillId="3" borderId="0" xfId="1" applyFont="1" applyFill="1"/>
    <xf numFmtId="3" fontId="1" fillId="3" borderId="3" xfId="3" applyNumberFormat="1" applyFont="1" applyFill="1" applyBorder="1" applyAlignment="1">
      <alignment horizontal="right"/>
    </xf>
    <xf numFmtId="0" fontId="1" fillId="3" borderId="3" xfId="3" applyFont="1" applyFill="1" applyBorder="1" applyAlignment="1">
      <alignment horizontal="right"/>
    </xf>
    <xf numFmtId="0" fontId="1" fillId="3" borderId="8" xfId="3" applyFont="1" applyFill="1" applyBorder="1" applyAlignment="1">
      <alignment horizontal="right"/>
    </xf>
    <xf numFmtId="166" fontId="1" fillId="3" borderId="8" xfId="1" applyNumberFormat="1" applyFont="1" applyFill="1" applyBorder="1"/>
    <xf numFmtId="3" fontId="1" fillId="0" borderId="4" xfId="3" applyNumberFormat="1" applyFont="1" applyBorder="1"/>
    <xf numFmtId="0" fontId="9" fillId="0" borderId="0" xfId="3" applyFont="1" applyFill="1" applyBorder="1" applyAlignment="1">
      <alignment horizontal="left" vertical="center"/>
    </xf>
    <xf numFmtId="0" fontId="9" fillId="0" borderId="0" xfId="3" applyFont="1" applyFill="1" applyBorder="1" applyAlignment="1">
      <alignment vertical="center"/>
    </xf>
    <xf numFmtId="0" fontId="9" fillId="0" borderId="0" xfId="3" applyFont="1" applyAlignment="1">
      <alignment horizontal="left" vertical="center"/>
    </xf>
    <xf numFmtId="0" fontId="18" fillId="0" borderId="0" xfId="3" applyFont="1" applyFill="1" applyBorder="1" applyAlignment="1">
      <alignment horizontal="left" vertical="center"/>
    </xf>
    <xf numFmtId="0" fontId="18" fillId="0" borderId="0" xfId="3" applyFont="1" applyFill="1" applyBorder="1" applyAlignment="1">
      <alignment vertical="center"/>
    </xf>
    <xf numFmtId="0" fontId="25" fillId="0" borderId="0" xfId="3" applyFont="1" applyFill="1" applyBorder="1" applyAlignment="1">
      <alignment horizontal="left" vertical="center" wrapText="1"/>
    </xf>
    <xf numFmtId="0" fontId="26" fillId="0" borderId="0" xfId="3" applyFont="1" applyFill="1" applyBorder="1" applyAlignment="1">
      <alignment horizontal="left" vertical="center"/>
    </xf>
    <xf numFmtId="0" fontId="11" fillId="0" borderId="0" xfId="3" applyFont="1" applyFill="1" applyAlignment="1">
      <alignment wrapText="1"/>
    </xf>
    <xf numFmtId="38" fontId="1" fillId="0" borderId="16" xfId="3" applyNumberFormat="1" applyFont="1" applyFill="1" applyBorder="1"/>
    <xf numFmtId="0" fontId="10" fillId="0" borderId="5" xfId="3" applyFont="1" applyBorder="1"/>
    <xf numFmtId="0" fontId="1" fillId="0" borderId="5" xfId="3" applyFont="1" applyFill="1" applyBorder="1"/>
    <xf numFmtId="43" fontId="1" fillId="0" borderId="19" xfId="1" applyFont="1" applyFill="1" applyBorder="1"/>
    <xf numFmtId="0" fontId="1" fillId="0" borderId="0" xfId="3" applyFill="1" applyBorder="1" applyAlignment="1">
      <alignment horizontal="left" vertical="center"/>
    </xf>
    <xf numFmtId="0" fontId="1" fillId="0" borderId="0" xfId="3" applyFill="1" applyBorder="1" applyAlignment="1">
      <alignment horizontal="left"/>
    </xf>
    <xf numFmtId="0" fontId="1" fillId="0" borderId="0" xfId="3" applyFont="1" applyFill="1" applyBorder="1" applyAlignment="1">
      <alignment horizontal="left"/>
    </xf>
    <xf numFmtId="0" fontId="1" fillId="0" borderId="15" xfId="3" applyFont="1" applyBorder="1"/>
    <xf numFmtId="0" fontId="1" fillId="4" borderId="15" xfId="3" applyFont="1" applyFill="1" applyBorder="1"/>
    <xf numFmtId="3" fontId="1" fillId="0" borderId="0" xfId="3" applyNumberFormat="1" applyFont="1" applyFill="1" applyBorder="1" applyAlignment="1">
      <alignment horizontal="right"/>
    </xf>
    <xf numFmtId="0" fontId="1" fillId="0" borderId="0" xfId="3" applyFont="1" applyFill="1" applyBorder="1" applyAlignment="1"/>
    <xf numFmtId="0" fontId="10" fillId="0" borderId="0" xfId="3" applyFont="1" applyFill="1" applyBorder="1"/>
    <xf numFmtId="38" fontId="1" fillId="5" borderId="16" xfId="3" applyNumberFormat="1" applyFont="1" applyFill="1" applyBorder="1"/>
    <xf numFmtId="0" fontId="1" fillId="6" borderId="8" xfId="3" applyFont="1" applyFill="1" applyBorder="1"/>
    <xf numFmtId="6" fontId="10" fillId="6" borderId="4" xfId="3" applyNumberFormat="1" applyFont="1" applyFill="1" applyBorder="1"/>
    <xf numFmtId="6" fontId="1" fillId="6" borderId="0" xfId="3" applyNumberFormat="1" applyFont="1" applyFill="1"/>
    <xf numFmtId="164" fontId="1" fillId="0" borderId="0" xfId="3" applyNumberFormat="1" applyFont="1" applyFill="1"/>
    <xf numFmtId="43" fontId="11" fillId="0" borderId="0" xfId="1" applyFont="1" applyFill="1" applyBorder="1"/>
    <xf numFmtId="164" fontId="1" fillId="0" borderId="0" xfId="1" applyNumberFormat="1" applyFont="1" applyFill="1"/>
    <xf numFmtId="10" fontId="10" fillId="6" borderId="0" xfId="2" applyNumberFormat="1" applyFont="1" applyFill="1"/>
    <xf numFmtId="0" fontId="10" fillId="6" borderId="0" xfId="3" applyFont="1" applyFill="1"/>
    <xf numFmtId="164" fontId="10" fillId="6" borderId="0" xfId="3" applyNumberFormat="1" applyFont="1" applyFill="1"/>
    <xf numFmtId="164" fontId="1" fillId="6" borderId="0" xfId="3" applyNumberFormat="1" applyFont="1" applyFill="1"/>
    <xf numFmtId="166" fontId="10" fillId="6" borderId="0" xfId="1" applyNumberFormat="1" applyFont="1" applyFill="1"/>
    <xf numFmtId="0" fontId="11" fillId="0" borderId="0" xfId="3" applyFont="1" applyFill="1" applyBorder="1" applyAlignment="1">
      <alignment horizontal="left"/>
    </xf>
    <xf numFmtId="0" fontId="1" fillId="0" borderId="0" xfId="3" applyFont="1" applyBorder="1" applyAlignment="1">
      <alignment horizontal="left"/>
    </xf>
    <xf numFmtId="0" fontId="1" fillId="0" borderId="0" xfId="3" applyBorder="1" applyAlignment="1">
      <alignment horizontal="left" vertical="center"/>
    </xf>
    <xf numFmtId="0" fontId="1" fillId="0" borderId="0" xfId="3" applyBorder="1" applyAlignment="1">
      <alignment horizontal="left"/>
    </xf>
    <xf numFmtId="0" fontId="10" fillId="0" borderId="9" xfId="3" applyFont="1" applyFill="1" applyBorder="1"/>
    <xf numFmtId="8" fontId="1" fillId="0" borderId="0" xfId="3" applyNumberFormat="1" applyFont="1" applyFill="1"/>
    <xf numFmtId="0" fontId="10" fillId="0" borderId="0" xfId="3" applyFont="1" applyFill="1"/>
    <xf numFmtId="166" fontId="1" fillId="0" borderId="0" xfId="1" applyNumberFormat="1" applyFont="1" applyFill="1"/>
    <xf numFmtId="38" fontId="10" fillId="0" borderId="0" xfId="3" applyNumberFormat="1" applyFont="1" applyFill="1"/>
    <xf numFmtId="0" fontId="1" fillId="0" borderId="0" xfId="3" applyFont="1" applyFill="1" applyBorder="1" applyAlignment="1">
      <alignment horizontal="right"/>
    </xf>
    <xf numFmtId="6" fontId="10" fillId="0" borderId="0" xfId="1" applyNumberFormat="1" applyFont="1" applyBorder="1"/>
    <xf numFmtId="166" fontId="10" fillId="0" borderId="0" xfId="1" applyNumberFormat="1" applyFont="1" applyFill="1"/>
    <xf numFmtId="43" fontId="10" fillId="0" borderId="0" xfId="1" applyNumberFormat="1" applyFont="1" applyBorder="1"/>
    <xf numFmtId="6" fontId="1" fillId="0" borderId="1" xfId="3" applyNumberFormat="1" applyFont="1" applyBorder="1"/>
    <xf numFmtId="0" fontId="21" fillId="9" borderId="20" xfId="3" applyFont="1" applyFill="1" applyBorder="1" applyAlignment="1">
      <alignment vertical="center"/>
    </xf>
    <xf numFmtId="0" fontId="22" fillId="9" borderId="20" xfId="3" applyFont="1" applyFill="1" applyBorder="1" applyAlignment="1">
      <alignment horizontal="center" vertical="center"/>
    </xf>
    <xf numFmtId="0" fontId="5" fillId="0" borderId="0" xfId="3" applyFont="1" applyFill="1" applyBorder="1" applyAlignment="1">
      <alignment vertical="center"/>
    </xf>
    <xf numFmtId="6" fontId="4" fillId="0" borderId="0" xfId="4" applyNumberFormat="1" applyFont="1" applyBorder="1" applyAlignment="1">
      <alignment vertical="center"/>
    </xf>
    <xf numFmtId="164" fontId="7" fillId="0" borderId="0" xfId="3" applyNumberFormat="1" applyFont="1" applyBorder="1" applyAlignment="1">
      <alignment vertical="center"/>
    </xf>
    <xf numFmtId="164" fontId="4" fillId="0" borderId="0" xfId="3" applyNumberFormat="1" applyFont="1" applyBorder="1" applyAlignment="1">
      <alignment vertical="center"/>
    </xf>
    <xf numFmtId="164" fontId="6" fillId="0" borderId="0" xfId="3" applyNumberFormat="1" applyFont="1" applyBorder="1" applyAlignment="1">
      <alignment vertical="center"/>
    </xf>
    <xf numFmtId="5" fontId="4" fillId="0" borderId="0" xfId="4" applyNumberFormat="1" applyFont="1" applyBorder="1" applyAlignment="1">
      <alignment vertical="center"/>
    </xf>
    <xf numFmtId="5" fontId="7" fillId="0" borderId="0" xfId="4" applyNumberFormat="1" applyFont="1" applyBorder="1" applyAlignment="1">
      <alignment vertical="center"/>
    </xf>
    <xf numFmtId="6" fontId="4" fillId="0" borderId="0" xfId="3" applyNumberFormat="1" applyFont="1" applyBorder="1" applyAlignment="1">
      <alignment vertical="center"/>
    </xf>
    <xf numFmtId="6" fontId="4" fillId="0" borderId="0" xfId="3" applyNumberFormat="1" applyFont="1" applyFill="1" applyBorder="1" applyAlignment="1">
      <alignment vertical="center"/>
    </xf>
    <xf numFmtId="166" fontId="4" fillId="0" borderId="0" xfId="1" applyNumberFormat="1" applyFont="1" applyBorder="1" applyAlignment="1">
      <alignment vertical="center"/>
    </xf>
    <xf numFmtId="0" fontId="5" fillId="0" borderId="21" xfId="3" applyFont="1" applyFill="1" applyBorder="1" applyAlignment="1">
      <alignment horizontal="left" vertical="center"/>
    </xf>
    <xf numFmtId="0" fontId="4" fillId="0" borderId="21" xfId="3" applyFont="1" applyFill="1" applyBorder="1" applyAlignment="1">
      <alignment horizontal="center" vertical="center"/>
    </xf>
    <xf numFmtId="0" fontId="5" fillId="0" borderId="21" xfId="3" applyFont="1" applyFill="1" applyBorder="1" applyAlignment="1">
      <alignment vertical="center" wrapText="1"/>
    </xf>
    <xf numFmtId="165" fontId="4" fillId="0" borderId="21" xfId="1" applyNumberFormat="1" applyFont="1" applyBorder="1" applyAlignment="1">
      <alignment vertical="center"/>
    </xf>
    <xf numFmtId="9" fontId="7" fillId="0" borderId="0" xfId="3" applyNumberFormat="1" applyFont="1" applyFill="1" applyBorder="1" applyAlignment="1">
      <alignment vertical="center"/>
    </xf>
    <xf numFmtId="9" fontId="4" fillId="0" borderId="0" xfId="3" applyNumberFormat="1" applyFont="1" applyFill="1" applyBorder="1" applyAlignment="1">
      <alignment vertical="center"/>
    </xf>
    <xf numFmtId="0" fontId="5" fillId="0" borderId="21" xfId="3" applyFont="1" applyFill="1" applyBorder="1" applyAlignment="1">
      <alignment vertical="center"/>
    </xf>
    <xf numFmtId="164" fontId="6" fillId="0" borderId="21" xfId="3" applyNumberFormat="1" applyFont="1" applyBorder="1" applyAlignment="1">
      <alignment vertical="center"/>
    </xf>
    <xf numFmtId="164" fontId="4" fillId="0" borderId="21" xfId="3" applyNumberFormat="1" applyFont="1" applyBorder="1" applyAlignment="1">
      <alignment vertical="center"/>
    </xf>
    <xf numFmtId="0" fontId="10" fillId="5" borderId="2" xfId="3" applyFont="1" applyFill="1" applyBorder="1"/>
    <xf numFmtId="0" fontId="18" fillId="5" borderId="9" xfId="3" applyFont="1" applyFill="1" applyBorder="1" applyAlignment="1">
      <alignment wrapText="1"/>
    </xf>
    <xf numFmtId="0" fontId="13" fillId="5" borderId="18" xfId="0" applyFont="1" applyFill="1" applyBorder="1"/>
    <xf numFmtId="0" fontId="19" fillId="5" borderId="12" xfId="0" applyFont="1" applyFill="1" applyBorder="1"/>
    <xf numFmtId="0" fontId="19" fillId="5" borderId="2" xfId="0" applyFont="1" applyFill="1" applyBorder="1"/>
    <xf numFmtId="0" fontId="20" fillId="5" borderId="9" xfId="0" applyFont="1" applyFill="1" applyBorder="1" applyAlignment="1">
      <alignment wrapText="1"/>
    </xf>
    <xf numFmtId="0" fontId="9" fillId="5" borderId="9" xfId="3" applyFont="1" applyFill="1" applyBorder="1" applyAlignment="1">
      <alignment wrapText="1"/>
    </xf>
    <xf numFmtId="0" fontId="10" fillId="5" borderId="18" xfId="3" applyFont="1" applyFill="1" applyBorder="1"/>
    <xf numFmtId="0" fontId="1" fillId="5" borderId="12" xfId="3" applyFont="1" applyFill="1" applyBorder="1" applyAlignment="1">
      <alignment wrapText="1"/>
    </xf>
    <xf numFmtId="0" fontId="10" fillId="5" borderId="16" xfId="3" applyFont="1" applyFill="1" applyBorder="1"/>
    <xf numFmtId="0" fontId="1" fillId="5" borderId="4" xfId="3" applyFont="1" applyFill="1" applyBorder="1"/>
    <xf numFmtId="0" fontId="1" fillId="5" borderId="1" xfId="3" applyFont="1" applyFill="1" applyBorder="1"/>
    <xf numFmtId="6" fontId="4" fillId="0" borderId="21" xfId="3" applyNumberFormat="1" applyFont="1" applyFill="1" applyBorder="1" applyAlignment="1">
      <alignment vertical="center"/>
    </xf>
    <xf numFmtId="6" fontId="4" fillId="0" borderId="22" xfId="3" applyNumberFormat="1" applyFont="1" applyBorder="1" applyAlignment="1">
      <alignment vertical="center"/>
    </xf>
    <xf numFmtId="3" fontId="1" fillId="0" borderId="4" xfId="3" applyNumberFormat="1" applyFont="1" applyFill="1" applyBorder="1" applyAlignment="1">
      <alignment horizontal="right"/>
    </xf>
    <xf numFmtId="0" fontId="24" fillId="9" borderId="1" xfId="3" applyFont="1" applyFill="1" applyBorder="1" applyAlignment="1">
      <alignment horizontal="center" vertical="top" wrapText="1"/>
    </xf>
    <xf numFmtId="164" fontId="24" fillId="9" borderId="13" xfId="3" applyNumberFormat="1" applyFont="1" applyFill="1" applyBorder="1"/>
    <xf numFmtId="164" fontId="13" fillId="9" borderId="13" xfId="3" applyNumberFormat="1" applyFont="1" applyFill="1" applyBorder="1"/>
    <xf numFmtId="164" fontId="24" fillId="9" borderId="18" xfId="3" applyNumberFormat="1" applyFont="1" applyFill="1" applyBorder="1"/>
    <xf numFmtId="0" fontId="23" fillId="9" borderId="13" xfId="3" applyFont="1" applyFill="1" applyBorder="1" applyAlignment="1">
      <alignment horizontal="center" vertical="top" wrapText="1"/>
    </xf>
    <xf numFmtId="0" fontId="1" fillId="9" borderId="13" xfId="3" applyFont="1" applyFill="1" applyBorder="1" applyAlignment="1">
      <alignment horizontal="center" vertical="top" wrapText="1"/>
    </xf>
    <xf numFmtId="0" fontId="10" fillId="0" borderId="16" xfId="3" applyFont="1" applyBorder="1"/>
    <xf numFmtId="0" fontId="10" fillId="5" borderId="24" xfId="3" applyFont="1" applyFill="1" applyBorder="1"/>
    <xf numFmtId="0" fontId="1" fillId="5" borderId="16" xfId="3" applyFont="1" applyFill="1" applyBorder="1"/>
    <xf numFmtId="0" fontId="1" fillId="5" borderId="24" xfId="3" applyFont="1" applyFill="1" applyBorder="1"/>
    <xf numFmtId="0" fontId="10" fillId="0" borderId="2" xfId="3" applyFont="1" applyBorder="1"/>
    <xf numFmtId="0" fontId="1" fillId="0" borderId="16" xfId="3" applyFont="1" applyBorder="1"/>
    <xf numFmtId="0" fontId="1" fillId="5" borderId="2" xfId="3" applyFont="1" applyFill="1" applyBorder="1"/>
    <xf numFmtId="0" fontId="10" fillId="0" borderId="2" xfId="3" applyFont="1" applyFill="1" applyBorder="1"/>
    <xf numFmtId="0" fontId="10" fillId="6" borderId="4" xfId="3" applyFont="1" applyFill="1" applyBorder="1"/>
    <xf numFmtId="164" fontId="10" fillId="6" borderId="4" xfId="3" applyNumberFormat="1" applyFont="1" applyFill="1" applyBorder="1"/>
    <xf numFmtId="0" fontId="10" fillId="6" borderId="16" xfId="3" applyFont="1" applyFill="1" applyBorder="1"/>
    <xf numFmtId="0" fontId="1" fillId="0" borderId="18" xfId="3" applyFont="1" applyBorder="1"/>
    <xf numFmtId="0" fontId="10" fillId="0" borderId="25" xfId="3" applyFont="1" applyBorder="1"/>
    <xf numFmtId="0" fontId="1" fillId="0" borderId="15" xfId="3" applyFont="1" applyFill="1" applyBorder="1"/>
    <xf numFmtId="0" fontId="10" fillId="6" borderId="1" xfId="3" applyFont="1" applyFill="1" applyBorder="1"/>
    <xf numFmtId="164" fontId="10" fillId="6" borderId="4" xfId="3" applyNumberFormat="1" applyFont="1" applyFill="1" applyBorder="1" applyAlignment="1">
      <alignment horizontal="center"/>
    </xf>
    <xf numFmtId="0" fontId="14" fillId="9" borderId="13" xfId="3" applyFont="1" applyFill="1" applyBorder="1" applyAlignment="1">
      <alignment horizontal="center" vertical="top" wrapText="1"/>
    </xf>
    <xf numFmtId="164" fontId="10" fillId="6" borderId="1" xfId="3" applyNumberFormat="1" applyFont="1" applyFill="1" applyBorder="1"/>
    <xf numFmtId="164" fontId="10" fillId="6" borderId="1" xfId="5" applyNumberFormat="1" applyFont="1" applyFill="1" applyBorder="1"/>
    <xf numFmtId="164" fontId="10" fillId="6" borderId="4" xfId="5" applyNumberFormat="1" applyFont="1" applyFill="1" applyBorder="1"/>
    <xf numFmtId="38" fontId="1" fillId="6" borderId="4" xfId="3" applyNumberFormat="1" applyFont="1" applyFill="1" applyBorder="1"/>
    <xf numFmtId="0" fontId="1" fillId="4" borderId="18" xfId="3" applyFont="1" applyFill="1" applyBorder="1" applyAlignment="1"/>
    <xf numFmtId="0" fontId="1" fillId="4" borderId="12" xfId="3" applyFont="1" applyFill="1" applyBorder="1" applyAlignment="1"/>
    <xf numFmtId="0" fontId="1" fillId="4" borderId="2" xfId="3" applyFont="1" applyFill="1" applyBorder="1" applyAlignment="1"/>
    <xf numFmtId="3" fontId="1" fillId="0" borderId="26" xfId="9" applyNumberFormat="1" applyFont="1" applyFill="1" applyBorder="1" applyAlignment="1" applyProtection="1">
      <protection locked="0"/>
    </xf>
    <xf numFmtId="38" fontId="1" fillId="0" borderId="8" xfId="3" applyNumberFormat="1" applyFont="1" applyFill="1" applyBorder="1"/>
    <xf numFmtId="6" fontId="1" fillId="0" borderId="1" xfId="3" applyNumberFormat="1" applyFont="1" applyFill="1" applyBorder="1"/>
    <xf numFmtId="166" fontId="1" fillId="0" borderId="0" xfId="1" applyNumberFormat="1" applyFont="1" applyBorder="1"/>
    <xf numFmtId="0" fontId="1" fillId="0" borderId="17" xfId="3" applyFont="1" applyBorder="1"/>
    <xf numFmtId="38" fontId="1" fillId="0" borderId="1" xfId="1" applyNumberFormat="1" applyFont="1" applyFill="1" applyBorder="1"/>
    <xf numFmtId="38" fontId="1" fillId="0" borderId="7" xfId="1" applyNumberFormat="1" applyFont="1" applyFill="1" applyBorder="1"/>
    <xf numFmtId="6" fontId="1" fillId="4" borderId="1" xfId="3" applyNumberFormat="1" applyFont="1" applyFill="1" applyBorder="1"/>
    <xf numFmtId="6" fontId="1" fillId="0" borderId="1" xfId="1" applyNumberFormat="1" applyFont="1" applyFill="1" applyBorder="1"/>
    <xf numFmtId="0" fontId="24" fillId="9" borderId="1" xfId="3" applyFont="1" applyFill="1" applyBorder="1" applyAlignment="1">
      <alignment horizontal="center" vertical="top" wrapText="1"/>
    </xf>
    <xf numFmtId="38" fontId="1" fillId="10" borderId="4" xfId="3" applyNumberFormat="1" applyFont="1" applyFill="1" applyBorder="1"/>
    <xf numFmtId="0" fontId="24" fillId="9" borderId="1" xfId="3" applyFont="1" applyFill="1" applyBorder="1" applyAlignment="1">
      <alignment horizontal="center" vertical="top" wrapText="1"/>
    </xf>
    <xf numFmtId="38" fontId="1" fillId="0" borderId="27" xfId="9" applyNumberFormat="1" applyFont="1" applyBorder="1" applyAlignment="1" applyProtection="1">
      <protection locked="0"/>
    </xf>
    <xf numFmtId="166" fontId="1" fillId="7" borderId="4" xfId="1" applyNumberFormat="1" applyFont="1" applyFill="1" applyBorder="1"/>
    <xf numFmtId="38" fontId="1" fillId="8" borderId="4" xfId="3" applyNumberFormat="1" applyFont="1" applyFill="1" applyBorder="1"/>
    <xf numFmtId="38" fontId="1" fillId="0" borderId="27" xfId="9" applyNumberFormat="1" applyFont="1" applyFill="1" applyBorder="1" applyAlignment="1" applyProtection="1">
      <protection locked="0"/>
    </xf>
    <xf numFmtId="3" fontId="1" fillId="10" borderId="4" xfId="3" applyNumberFormat="1" applyFont="1" applyFill="1" applyBorder="1" applyAlignment="1">
      <alignment horizontal="right"/>
    </xf>
    <xf numFmtId="0" fontId="1" fillId="10" borderId="4" xfId="3" applyFont="1" applyFill="1" applyBorder="1" applyAlignment="1">
      <alignment horizontal="right"/>
    </xf>
    <xf numFmtId="43" fontId="4" fillId="0" borderId="0" xfId="1" applyFont="1" applyFill="1" applyBorder="1" applyAlignment="1">
      <alignment vertical="center"/>
    </xf>
    <xf numFmtId="0" fontId="10" fillId="0" borderId="0" xfId="3" applyFont="1" applyAlignment="1">
      <alignment vertical="center"/>
    </xf>
    <xf numFmtId="6" fontId="4" fillId="0" borderId="0" xfId="1" applyNumberFormat="1" applyFont="1" applyFill="1" applyBorder="1" applyAlignment="1">
      <alignment vertical="center"/>
    </xf>
    <xf numFmtId="6" fontId="4" fillId="0" borderId="0" xfId="1" applyNumberFormat="1" applyFont="1" applyBorder="1" applyAlignment="1">
      <alignment vertical="center"/>
    </xf>
    <xf numFmtId="0" fontId="22" fillId="9" borderId="28" xfId="3" applyFont="1" applyFill="1" applyBorder="1" applyAlignment="1">
      <alignment horizontal="center" vertical="center"/>
    </xf>
    <xf numFmtId="0" fontId="22" fillId="9" borderId="29" xfId="3" applyFont="1" applyFill="1" applyBorder="1" applyAlignment="1">
      <alignment horizontal="center" vertical="center"/>
    </xf>
    <xf numFmtId="0" fontId="10" fillId="0" borderId="0" xfId="3" applyFont="1" applyBorder="1" applyAlignment="1">
      <alignment vertical="center"/>
    </xf>
    <xf numFmtId="0" fontId="5" fillId="7" borderId="0" xfId="3" applyFont="1" applyFill="1" applyBorder="1" applyAlignment="1">
      <alignment vertical="center" wrapText="1"/>
    </xf>
    <xf numFmtId="0" fontId="5" fillId="12" borderId="0" xfId="3" applyFont="1" applyFill="1" applyBorder="1" applyAlignment="1">
      <alignment vertical="center" wrapText="1"/>
    </xf>
    <xf numFmtId="166" fontId="4" fillId="0" borderId="0" xfId="1" applyNumberFormat="1" applyFont="1" applyFill="1" applyBorder="1" applyAlignment="1">
      <alignment vertical="center"/>
    </xf>
    <xf numFmtId="166" fontId="4" fillId="0" borderId="0" xfId="3" applyNumberFormat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vertical="center" wrapText="1"/>
    </xf>
    <xf numFmtId="0" fontId="27" fillId="0" borderId="0" xfId="3" applyFont="1" applyBorder="1" applyAlignment="1">
      <alignment horizontal="center" vertical="center" wrapText="1"/>
    </xf>
    <xf numFmtId="0" fontId="2" fillId="0" borderId="0" xfId="3" applyFont="1" applyBorder="1" applyAlignment="1">
      <alignment horizontal="center" vertical="center" wrapText="1"/>
    </xf>
    <xf numFmtId="0" fontId="9" fillId="0" borderId="18" xfId="3" applyFont="1" applyBorder="1" applyAlignment="1">
      <alignment vertical="top" wrapText="1"/>
    </xf>
    <xf numFmtId="0" fontId="1" fillId="0" borderId="12" xfId="3" applyFont="1" applyBorder="1" applyAlignment="1">
      <alignment vertical="top" wrapText="1"/>
    </xf>
    <xf numFmtId="0" fontId="1" fillId="0" borderId="23" xfId="3" applyFont="1" applyBorder="1" applyAlignment="1">
      <alignment vertical="top" wrapText="1"/>
    </xf>
    <xf numFmtId="0" fontId="1" fillId="0" borderId="6" xfId="3" applyFont="1" applyBorder="1" applyAlignment="1">
      <alignment vertical="top" wrapText="1"/>
    </xf>
    <xf numFmtId="0" fontId="1" fillId="0" borderId="2" xfId="3" applyFont="1" applyBorder="1" applyAlignment="1">
      <alignment vertical="top" wrapText="1"/>
    </xf>
    <xf numFmtId="0" fontId="1" fillId="0" borderId="9" xfId="3" applyFont="1" applyBorder="1" applyAlignment="1">
      <alignment vertical="top" wrapText="1"/>
    </xf>
    <xf numFmtId="0" fontId="24" fillId="10" borderId="7" xfId="3" applyFont="1" applyFill="1" applyBorder="1" applyAlignment="1">
      <alignment horizontal="center" vertical="top" wrapText="1"/>
    </xf>
    <xf numFmtId="0" fontId="24" fillId="10" borderId="1" xfId="3" applyFont="1" applyFill="1" applyBorder="1" applyAlignment="1">
      <alignment horizontal="center" vertical="top" wrapText="1"/>
    </xf>
    <xf numFmtId="0" fontId="1" fillId="0" borderId="0" xfId="3" applyFont="1" applyFill="1" applyBorder="1" applyAlignment="1">
      <alignment horizontal="left" vertical="center" wrapText="1"/>
    </xf>
    <xf numFmtId="0" fontId="24" fillId="9" borderId="7" xfId="3" applyFont="1" applyFill="1" applyBorder="1" applyAlignment="1">
      <alignment horizontal="center" vertical="top" wrapText="1"/>
    </xf>
    <xf numFmtId="0" fontId="24" fillId="9" borderId="1" xfId="3" applyFont="1" applyFill="1" applyBorder="1" applyAlignment="1">
      <alignment horizontal="center" vertical="top" wrapText="1"/>
    </xf>
    <xf numFmtId="0" fontId="10" fillId="0" borderId="18" xfId="3" applyFont="1" applyBorder="1" applyAlignment="1">
      <alignment horizontal="center"/>
    </xf>
    <xf numFmtId="0" fontId="10" fillId="0" borderId="12" xfId="3" applyFont="1" applyBorder="1" applyAlignment="1">
      <alignment horizontal="center"/>
    </xf>
    <xf numFmtId="0" fontId="10" fillId="0" borderId="2" xfId="3" applyFont="1" applyBorder="1" applyAlignment="1">
      <alignment horizontal="center"/>
    </xf>
    <xf numFmtId="0" fontId="10" fillId="0" borderId="9" xfId="3" applyFont="1" applyBorder="1" applyAlignment="1">
      <alignment horizontal="center"/>
    </xf>
    <xf numFmtId="0" fontId="10" fillId="5" borderId="18" xfId="3" applyFont="1" applyFill="1" applyBorder="1" applyAlignment="1">
      <alignment horizontal="left" wrapText="1"/>
    </xf>
    <xf numFmtId="0" fontId="10" fillId="5" borderId="12" xfId="3" applyFont="1" applyFill="1" applyBorder="1" applyAlignment="1">
      <alignment horizontal="left" wrapText="1"/>
    </xf>
    <xf numFmtId="0" fontId="10" fillId="5" borderId="18" xfId="3" applyFont="1" applyFill="1" applyBorder="1"/>
    <xf numFmtId="0" fontId="10" fillId="5" borderId="12" xfId="3" applyFont="1" applyFill="1" applyBorder="1"/>
    <xf numFmtId="43" fontId="1" fillId="0" borderId="4" xfId="1" applyFont="1" applyFill="1" applyBorder="1" applyAlignment="1">
      <alignment horizontal="center" vertical="center"/>
    </xf>
    <xf numFmtId="9" fontId="10" fillId="0" borderId="4" xfId="2" applyFont="1" applyFill="1" applyBorder="1" applyAlignment="1">
      <alignment horizontal="center" vertical="center"/>
    </xf>
    <xf numFmtId="2" fontId="1" fillId="0" borderId="13" xfId="2" applyNumberFormat="1" applyFont="1" applyFill="1" applyBorder="1" applyAlignment="1">
      <alignment horizontal="center" vertical="center"/>
    </xf>
    <xf numFmtId="2" fontId="1" fillId="0" borderId="1" xfId="2" applyNumberFormat="1" applyFont="1" applyFill="1" applyBorder="1" applyAlignment="1">
      <alignment horizontal="center" vertical="center"/>
    </xf>
    <xf numFmtId="0" fontId="24" fillId="12" borderId="7" xfId="3" applyFont="1" applyFill="1" applyBorder="1" applyAlignment="1">
      <alignment horizontal="center" vertical="top" wrapText="1"/>
    </xf>
    <xf numFmtId="0" fontId="24" fillId="12" borderId="1" xfId="3" applyFont="1" applyFill="1" applyBorder="1" applyAlignment="1">
      <alignment horizontal="center" vertical="top" wrapText="1"/>
    </xf>
    <xf numFmtId="0" fontId="1" fillId="0" borderId="18" xfId="3" applyFont="1" applyBorder="1" applyAlignment="1"/>
    <xf numFmtId="0" fontId="1" fillId="0" borderId="12" xfId="3" applyFont="1" applyBorder="1" applyAlignment="1"/>
    <xf numFmtId="0" fontId="1" fillId="0" borderId="2" xfId="3" applyFont="1" applyBorder="1" applyAlignment="1"/>
    <xf numFmtId="0" fontId="1" fillId="0" borderId="9" xfId="3" applyFont="1" applyBorder="1" applyAlignment="1"/>
    <xf numFmtId="9" fontId="10" fillId="0" borderId="13" xfId="2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0" fontId="24" fillId="11" borderId="7" xfId="3" applyFont="1" applyFill="1" applyBorder="1" applyAlignment="1">
      <alignment horizontal="center" vertical="top" wrapText="1"/>
    </xf>
    <xf numFmtId="0" fontId="24" fillId="11" borderId="1" xfId="3" applyFont="1" applyFill="1" applyBorder="1" applyAlignment="1">
      <alignment horizontal="center" vertical="top" wrapText="1"/>
    </xf>
    <xf numFmtId="43" fontId="1" fillId="0" borderId="13" xfId="1" applyFont="1" applyFill="1" applyBorder="1" applyAlignment="1">
      <alignment horizontal="center" vertical="center"/>
    </xf>
    <xf numFmtId="43" fontId="1" fillId="0" borderId="1" xfId="1" applyFont="1" applyFill="1" applyBorder="1" applyAlignment="1">
      <alignment horizontal="center" vertical="center"/>
    </xf>
    <xf numFmtId="0" fontId="24" fillId="8" borderId="7" xfId="3" applyFont="1" applyFill="1" applyBorder="1" applyAlignment="1">
      <alignment horizontal="center" vertical="top" wrapText="1"/>
    </xf>
    <xf numFmtId="0" fontId="24" fillId="8" borderId="1" xfId="3" applyFont="1" applyFill="1" applyBorder="1" applyAlignment="1">
      <alignment horizontal="center" vertical="top" wrapText="1"/>
    </xf>
    <xf numFmtId="0" fontId="11" fillId="0" borderId="0" xfId="3" applyFont="1" applyFill="1" applyAlignment="1">
      <alignment wrapText="1"/>
    </xf>
    <xf numFmtId="0" fontId="24" fillId="13" borderId="7" xfId="3" applyFont="1" applyFill="1" applyBorder="1" applyAlignment="1">
      <alignment horizontal="center" vertical="top" wrapText="1"/>
    </xf>
    <xf numFmtId="0" fontId="24" fillId="13" borderId="1" xfId="3" applyFont="1" applyFill="1" applyBorder="1" applyAlignment="1">
      <alignment horizontal="center" vertical="top" wrapText="1"/>
    </xf>
  </cellXfs>
  <cellStyles count="10">
    <cellStyle name="Budget" xfId="9" xr:uid="{00000000-0005-0000-0000-000000000000}"/>
    <cellStyle name="Comma" xfId="1" builtinId="3"/>
    <cellStyle name="Comma 2 2" xfId="8" xr:uid="{00000000-0005-0000-0000-000002000000}"/>
    <cellStyle name="Currency 2" xfId="4" xr:uid="{00000000-0005-0000-0000-000003000000}"/>
    <cellStyle name="Normal" xfId="0" builtinId="0"/>
    <cellStyle name="Normal 2" xfId="3" xr:uid="{00000000-0005-0000-0000-000005000000}"/>
    <cellStyle name="Normal 4" xfId="7" xr:uid="{00000000-0005-0000-0000-000006000000}"/>
    <cellStyle name="Normal 6" xfId="6" xr:uid="{00000000-0005-0000-0000-000007000000}"/>
    <cellStyle name="Percent" xfId="2" builtinId="5"/>
    <cellStyle name="Percent 2" xfId="5" xr:uid="{00000000-0005-0000-0000-00000B000000}"/>
  </cellStyles>
  <dxfs count="71"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_(* #,##0_);_(* \(#,##0\);_(* &quot;-&quot;??_);_(@_)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9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4.png"/><Relationship Id="rId1" Type="http://schemas.openxmlformats.org/officeDocument/2006/relationships/image" Target="../media/image15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80</xdr:row>
      <xdr:rowOff>76200</xdr:rowOff>
    </xdr:from>
    <xdr:to>
      <xdr:col>1</xdr:col>
      <xdr:colOff>1781175</xdr:colOff>
      <xdr:row>81</xdr:row>
      <xdr:rowOff>876300</xdr:rowOff>
    </xdr:to>
    <xdr:pic>
      <xdr:nvPicPr>
        <xdr:cNvPr id="2" name="Picture 12" descr="cdfa_logo_4color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419100" y="13868400"/>
          <a:ext cx="170497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0</xdr:row>
      <xdr:rowOff>57150</xdr:rowOff>
    </xdr:from>
    <xdr:to>
      <xdr:col>1</xdr:col>
      <xdr:colOff>1762125</xdr:colOff>
      <xdr:row>2</xdr:row>
      <xdr:rowOff>685800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540" y="57150"/>
          <a:ext cx="1657350" cy="942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80</xdr:row>
      <xdr:rowOff>76200</xdr:rowOff>
    </xdr:from>
    <xdr:to>
      <xdr:col>1</xdr:col>
      <xdr:colOff>1733550</xdr:colOff>
      <xdr:row>81</xdr:row>
      <xdr:rowOff>847726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3868400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76200</xdr:rowOff>
    </xdr:from>
    <xdr:to>
      <xdr:col>1</xdr:col>
      <xdr:colOff>1657350</xdr:colOff>
      <xdr:row>2</xdr:row>
      <xdr:rowOff>523875</xdr:rowOff>
    </xdr:to>
    <xdr:pic>
      <xdr:nvPicPr>
        <xdr:cNvPr id="2" name="Picture 7" descr="cdfa_logo_4color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409575" y="76200"/>
          <a:ext cx="159067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114300</xdr:rowOff>
    </xdr:from>
    <xdr:to>
      <xdr:col>1</xdr:col>
      <xdr:colOff>1666875</xdr:colOff>
      <xdr:row>2</xdr:row>
      <xdr:rowOff>733425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290" y="114300"/>
          <a:ext cx="1657350" cy="9328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80</xdr:row>
      <xdr:rowOff>66675</xdr:rowOff>
    </xdr:from>
    <xdr:to>
      <xdr:col>1</xdr:col>
      <xdr:colOff>1685925</xdr:colOff>
      <xdr:row>81</xdr:row>
      <xdr:rowOff>885824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2934950"/>
          <a:ext cx="16573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76200</xdr:rowOff>
    </xdr:from>
    <xdr:to>
      <xdr:col>1</xdr:col>
      <xdr:colOff>1657350</xdr:colOff>
      <xdr:row>2</xdr:row>
      <xdr:rowOff>523875</xdr:rowOff>
    </xdr:to>
    <xdr:pic>
      <xdr:nvPicPr>
        <xdr:cNvPr id="4" name="Picture 7" descr="cdfa_logo_4color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409575" y="76200"/>
          <a:ext cx="159067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114300</xdr:rowOff>
    </xdr:from>
    <xdr:to>
      <xdr:col>1</xdr:col>
      <xdr:colOff>1666875</xdr:colOff>
      <xdr:row>2</xdr:row>
      <xdr:rowOff>733425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16573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80</xdr:row>
      <xdr:rowOff>95250</xdr:rowOff>
    </xdr:from>
    <xdr:to>
      <xdr:col>1</xdr:col>
      <xdr:colOff>1685925</xdr:colOff>
      <xdr:row>81</xdr:row>
      <xdr:rowOff>857251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13087350"/>
          <a:ext cx="16573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85725</xdr:rowOff>
    </xdr:from>
    <xdr:to>
      <xdr:col>1</xdr:col>
      <xdr:colOff>1609725</xdr:colOff>
      <xdr:row>2</xdr:row>
      <xdr:rowOff>628650</xdr:rowOff>
    </xdr:to>
    <xdr:pic>
      <xdr:nvPicPr>
        <xdr:cNvPr id="2" name="Picture 1" descr="cdfa_logo_4color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71475" y="85725"/>
          <a:ext cx="15811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66675</xdr:rowOff>
    </xdr:from>
    <xdr:to>
      <xdr:col>1</xdr:col>
      <xdr:colOff>1657350</xdr:colOff>
      <xdr:row>2</xdr:row>
      <xdr:rowOff>695325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66675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80</xdr:row>
      <xdr:rowOff>76200</xdr:rowOff>
    </xdr:from>
    <xdr:to>
      <xdr:col>1</xdr:col>
      <xdr:colOff>1638300</xdr:colOff>
      <xdr:row>81</xdr:row>
      <xdr:rowOff>866776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2973050"/>
          <a:ext cx="16573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57150</xdr:rowOff>
    </xdr:from>
    <xdr:to>
      <xdr:col>1</xdr:col>
      <xdr:colOff>1762125</xdr:colOff>
      <xdr:row>2</xdr:row>
      <xdr:rowOff>561975</xdr:rowOff>
    </xdr:to>
    <xdr:pic>
      <xdr:nvPicPr>
        <xdr:cNvPr id="2" name="Picture 7" descr="cdfa_logo_4color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81000" y="57150"/>
          <a:ext cx="17240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80</xdr:row>
      <xdr:rowOff>19050</xdr:rowOff>
    </xdr:from>
    <xdr:to>
      <xdr:col>1</xdr:col>
      <xdr:colOff>1724025</xdr:colOff>
      <xdr:row>81</xdr:row>
      <xdr:rowOff>723900</xdr:rowOff>
    </xdr:to>
    <xdr:pic>
      <xdr:nvPicPr>
        <xdr:cNvPr id="3" name="Picture 8" descr="cdfa_logo_4color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61950" y="12868275"/>
          <a:ext cx="17049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0</xdr:row>
      <xdr:rowOff>85725</xdr:rowOff>
    </xdr:from>
    <xdr:to>
      <xdr:col>1</xdr:col>
      <xdr:colOff>1762125</xdr:colOff>
      <xdr:row>2</xdr:row>
      <xdr:rowOff>714375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85725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80</xdr:row>
      <xdr:rowOff>95250</xdr:rowOff>
    </xdr:from>
    <xdr:to>
      <xdr:col>1</xdr:col>
      <xdr:colOff>1714500</xdr:colOff>
      <xdr:row>81</xdr:row>
      <xdr:rowOff>866775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3020675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236220</xdr:colOff>
      <xdr:row>124</xdr:row>
      <xdr:rowOff>0</xdr:rowOff>
    </xdr:from>
    <xdr:to>
      <xdr:col>1</xdr:col>
      <xdr:colOff>2137247</xdr:colOff>
      <xdr:row>124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236220" y="19754850"/>
          <a:ext cx="2243927" cy="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Social Media</a:t>
          </a:r>
          <a:r>
            <a:rPr lang="en-US" sz="1400" b="1" baseline="0">
              <a:latin typeface="Arial" pitchFamily="34" charset="0"/>
              <a:cs typeface="Arial" pitchFamily="34" charset="0"/>
            </a:rPr>
            <a:t> </a:t>
          </a:r>
        </a:p>
        <a:p>
          <a:pPr algn="ctr"/>
          <a:r>
            <a:rPr lang="en-US" sz="1400" b="1" baseline="0">
              <a:latin typeface="Arial" pitchFamily="34" charset="0"/>
              <a:cs typeface="Arial" pitchFamily="34" charset="0"/>
            </a:rPr>
            <a:t>Analysis</a:t>
          </a:r>
        </a:p>
        <a:p>
          <a:pPr algn="ctr"/>
          <a:r>
            <a:rPr lang="en-US" sz="800" b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(Retrieved August 2013)</a:t>
          </a:r>
        </a:p>
        <a:p>
          <a:pPr algn="ctr"/>
          <a:endParaRPr lang="en-US" sz="16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57150</xdr:rowOff>
    </xdr:from>
    <xdr:to>
      <xdr:col>1</xdr:col>
      <xdr:colOff>1762125</xdr:colOff>
      <xdr:row>2</xdr:row>
      <xdr:rowOff>561975</xdr:rowOff>
    </xdr:to>
    <xdr:pic>
      <xdr:nvPicPr>
        <xdr:cNvPr id="2" name="Picture 1" descr="cdfa_logo_4color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81000" y="57150"/>
          <a:ext cx="17240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123825</xdr:rowOff>
    </xdr:from>
    <xdr:to>
      <xdr:col>1</xdr:col>
      <xdr:colOff>1666875</xdr:colOff>
      <xdr:row>2</xdr:row>
      <xdr:rowOff>752475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23825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80</xdr:row>
      <xdr:rowOff>133350</xdr:rowOff>
    </xdr:from>
    <xdr:to>
      <xdr:col>1</xdr:col>
      <xdr:colOff>1724025</xdr:colOff>
      <xdr:row>81</xdr:row>
      <xdr:rowOff>904874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3106400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188594</xdr:colOff>
      <xdr:row>124</xdr:row>
      <xdr:rowOff>0</xdr:rowOff>
    </xdr:from>
    <xdr:to>
      <xdr:col>1</xdr:col>
      <xdr:colOff>2137293</xdr:colOff>
      <xdr:row>124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188594" y="19926300"/>
          <a:ext cx="2291599" cy="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400" b="1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Social Media</a:t>
          </a:r>
          <a:r>
            <a:rPr lang="en-US" sz="1400" b="1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endParaRPr lang="en-US" sz="1400">
            <a:latin typeface="Arial" pitchFamily="34" charset="0"/>
            <a:cs typeface="Arial" pitchFamily="34" charset="0"/>
          </a:endParaRPr>
        </a:p>
        <a:p>
          <a:pPr algn="ctr"/>
          <a:r>
            <a:rPr lang="en-US" sz="1400" b="1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Analysis</a:t>
          </a:r>
          <a:endParaRPr lang="en-US" sz="1400">
            <a:latin typeface="Arial" pitchFamily="34" charset="0"/>
            <a:cs typeface="Arial" pitchFamily="34" charset="0"/>
          </a:endParaRPr>
        </a:p>
        <a:p>
          <a:pPr algn="ctr" eaLnBrk="1" fontAlgn="auto" latinLnBrk="0" hangingPunct="1"/>
          <a:r>
            <a:rPr lang="en-US" sz="800" b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(Retrieved August 2013)</a:t>
          </a:r>
          <a:endParaRPr lang="en-US" sz="80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57150</xdr:rowOff>
    </xdr:from>
    <xdr:to>
      <xdr:col>1</xdr:col>
      <xdr:colOff>1695450</xdr:colOff>
      <xdr:row>2</xdr:row>
      <xdr:rowOff>542925</xdr:rowOff>
    </xdr:to>
    <xdr:pic>
      <xdr:nvPicPr>
        <xdr:cNvPr id="2" name="Picture 7" descr="cdfa_logo_4color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04800" y="57150"/>
          <a:ext cx="17335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80</xdr:row>
      <xdr:rowOff>57150</xdr:rowOff>
    </xdr:from>
    <xdr:to>
      <xdr:col>1</xdr:col>
      <xdr:colOff>1724025</xdr:colOff>
      <xdr:row>81</xdr:row>
      <xdr:rowOff>762000</xdr:rowOff>
    </xdr:to>
    <xdr:pic>
      <xdr:nvPicPr>
        <xdr:cNvPr id="3" name="Picture 8" descr="cdfa_logo_4color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61950" y="13201650"/>
          <a:ext cx="17049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80</xdr:row>
      <xdr:rowOff>57150</xdr:rowOff>
    </xdr:from>
    <xdr:to>
      <xdr:col>1</xdr:col>
      <xdr:colOff>1676400</xdr:colOff>
      <xdr:row>81</xdr:row>
      <xdr:rowOff>828675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3201650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333375</xdr:colOff>
      <xdr:row>0</xdr:row>
      <xdr:rowOff>76200</xdr:rowOff>
    </xdr:from>
    <xdr:to>
      <xdr:col>1</xdr:col>
      <xdr:colOff>1657350</xdr:colOff>
      <xdr:row>2</xdr:row>
      <xdr:rowOff>704850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76200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160019</xdr:colOff>
      <xdr:row>124</xdr:row>
      <xdr:rowOff>0</xdr:rowOff>
    </xdr:from>
    <xdr:to>
      <xdr:col>1</xdr:col>
      <xdr:colOff>2232666</xdr:colOff>
      <xdr:row>124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160019" y="20021550"/>
          <a:ext cx="2415547" cy="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Social Media</a:t>
          </a:r>
          <a:r>
            <a:rPr lang="en-US" sz="1400" b="1" baseline="0">
              <a:latin typeface="Arial" pitchFamily="34" charset="0"/>
              <a:cs typeface="Arial" pitchFamily="34" charset="0"/>
            </a:rPr>
            <a:t> </a:t>
          </a:r>
        </a:p>
        <a:p>
          <a:pPr algn="ctr"/>
          <a:r>
            <a:rPr lang="en-US" sz="1400" b="1" baseline="0">
              <a:latin typeface="Arial" pitchFamily="34" charset="0"/>
              <a:cs typeface="Arial" pitchFamily="34" charset="0"/>
            </a:rPr>
            <a:t>Analysis</a:t>
          </a:r>
        </a:p>
        <a:p>
          <a:pPr algn="ctr"/>
          <a:r>
            <a:rPr lang="en-US" sz="800" b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(Retrieved August 2013)</a:t>
          </a:r>
          <a:endParaRPr lang="en-US" sz="800">
            <a:latin typeface="Arial" pitchFamily="34" charset="0"/>
            <a:cs typeface="Arial" pitchFamily="34" charset="0"/>
          </a:endParaRPr>
        </a:p>
        <a:p>
          <a:pPr algn="ctr"/>
          <a:endParaRPr lang="en-US" sz="16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0</xdr:row>
      <xdr:rowOff>0</xdr:rowOff>
    </xdr:from>
    <xdr:to>
      <xdr:col>1</xdr:col>
      <xdr:colOff>1733550</xdr:colOff>
      <xdr:row>0</xdr:row>
      <xdr:rowOff>0</xdr:rowOff>
    </xdr:to>
    <xdr:pic>
      <xdr:nvPicPr>
        <xdr:cNvPr id="2" name="Picture 7" descr="cdfa_logo_4color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495300" y="0"/>
          <a:ext cx="1581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114300</xdr:colOff>
      <xdr:row>0</xdr:row>
      <xdr:rowOff>57150</xdr:rowOff>
    </xdr:from>
    <xdr:to>
      <xdr:col>1</xdr:col>
      <xdr:colOff>1695450</xdr:colOff>
      <xdr:row>2</xdr:row>
      <xdr:rowOff>542925</xdr:rowOff>
    </xdr:to>
    <xdr:pic>
      <xdr:nvPicPr>
        <xdr:cNvPr id="3" name="Picture 9" descr="cdfa_logo_4color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457200" y="57150"/>
          <a:ext cx="15811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81</xdr:row>
      <xdr:rowOff>0</xdr:rowOff>
    </xdr:from>
    <xdr:to>
      <xdr:col>1</xdr:col>
      <xdr:colOff>1724025</xdr:colOff>
      <xdr:row>81</xdr:row>
      <xdr:rowOff>762000</xdr:rowOff>
    </xdr:to>
    <xdr:pic>
      <xdr:nvPicPr>
        <xdr:cNvPr id="4" name="Picture 10" descr="cdfa_logo_4color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61950" y="12992100"/>
          <a:ext cx="17049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85725</xdr:rowOff>
    </xdr:from>
    <xdr:to>
      <xdr:col>1</xdr:col>
      <xdr:colOff>1666875</xdr:colOff>
      <xdr:row>2</xdr:row>
      <xdr:rowOff>714375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85725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80</xdr:row>
      <xdr:rowOff>47625</xdr:rowOff>
    </xdr:from>
    <xdr:to>
      <xdr:col>1</xdr:col>
      <xdr:colOff>1685925</xdr:colOff>
      <xdr:row>81</xdr:row>
      <xdr:rowOff>819151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2877800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171450</xdr:colOff>
      <xdr:row>124</xdr:row>
      <xdr:rowOff>0</xdr:rowOff>
    </xdr:from>
    <xdr:to>
      <xdr:col>1</xdr:col>
      <xdr:colOff>2183240</xdr:colOff>
      <xdr:row>124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171450" y="19916775"/>
          <a:ext cx="2354690" cy="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Social Media</a:t>
          </a:r>
          <a:r>
            <a:rPr lang="en-US" sz="1400" b="1" baseline="0">
              <a:latin typeface="Arial" pitchFamily="34" charset="0"/>
              <a:cs typeface="Arial" pitchFamily="34" charset="0"/>
            </a:rPr>
            <a:t> </a:t>
          </a:r>
        </a:p>
        <a:p>
          <a:pPr algn="ctr"/>
          <a:r>
            <a:rPr lang="en-US" sz="1400" b="1" baseline="0">
              <a:latin typeface="Arial" pitchFamily="34" charset="0"/>
              <a:cs typeface="Arial" pitchFamily="34" charset="0"/>
            </a:rPr>
            <a:t>Analysis</a:t>
          </a:r>
          <a:endParaRPr lang="en-US" sz="1400">
            <a:latin typeface="Arial" pitchFamily="34" charset="0"/>
            <a:cs typeface="Arial" pitchFamily="34" charset="0"/>
          </a:endParaRPr>
        </a:p>
        <a:p>
          <a:pPr algn="ctr"/>
          <a:r>
            <a:rPr lang="en-US" sz="800" b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(Retrieved August 2013)</a:t>
          </a:r>
          <a:endParaRPr lang="en-US" sz="800">
            <a:latin typeface="Arial" pitchFamily="34" charset="0"/>
            <a:cs typeface="Arial" pitchFamily="34" charset="0"/>
          </a:endParaRPr>
        </a:p>
        <a:p>
          <a:pPr algn="ctr"/>
          <a:endParaRPr lang="en-US" sz="16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66675</xdr:rowOff>
    </xdr:from>
    <xdr:to>
      <xdr:col>1</xdr:col>
      <xdr:colOff>1724025</xdr:colOff>
      <xdr:row>2</xdr:row>
      <xdr:rowOff>533400</xdr:rowOff>
    </xdr:to>
    <xdr:pic>
      <xdr:nvPicPr>
        <xdr:cNvPr id="3" name="Picture 9" descr="cdfa_logo_4color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409575" y="66675"/>
          <a:ext cx="16573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81</xdr:row>
      <xdr:rowOff>0</xdr:rowOff>
    </xdr:from>
    <xdr:to>
      <xdr:col>1</xdr:col>
      <xdr:colOff>1724025</xdr:colOff>
      <xdr:row>81</xdr:row>
      <xdr:rowOff>762000</xdr:rowOff>
    </xdr:to>
    <xdr:pic>
      <xdr:nvPicPr>
        <xdr:cNvPr id="16" name="Picture 10" descr="cdfa_logo_4color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61950" y="12992100"/>
          <a:ext cx="17049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80</xdr:row>
      <xdr:rowOff>47625</xdr:rowOff>
    </xdr:from>
    <xdr:to>
      <xdr:col>1</xdr:col>
      <xdr:colOff>1685925</xdr:colOff>
      <xdr:row>81</xdr:row>
      <xdr:rowOff>819150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2877800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304800</xdr:colOff>
      <xdr:row>0</xdr:row>
      <xdr:rowOff>57150</xdr:rowOff>
    </xdr:from>
    <xdr:to>
      <xdr:col>1</xdr:col>
      <xdr:colOff>1695450</xdr:colOff>
      <xdr:row>2</xdr:row>
      <xdr:rowOff>542925</xdr:rowOff>
    </xdr:to>
    <xdr:pic>
      <xdr:nvPicPr>
        <xdr:cNvPr id="18" name="Picture 7" descr="cdfa_logo_4color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04800" y="57150"/>
          <a:ext cx="17335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333375</xdr:colOff>
      <xdr:row>0</xdr:row>
      <xdr:rowOff>76200</xdr:rowOff>
    </xdr:from>
    <xdr:to>
      <xdr:col>1</xdr:col>
      <xdr:colOff>1657350</xdr:colOff>
      <xdr:row>2</xdr:row>
      <xdr:rowOff>704850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76200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tate_Gov_Reporting\Gaap\CAFR%202005\Agency%20Responses\Employment%20Development%20Department\Department%20of%20Health%20Serv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tate_Gov_Reporting\2008-09\GAAP\AGENCY%20REQUESTS\Department%20of%20Health%20Servic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tate_Gov_Reporting\Gaap\CAFR%202005\Agency%20Requests%20Sent\Department%20of%20Health%20Servi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912-PY GAAP adj."/>
      <sheetName val="Fd. 0912-CY GAAP adj."/>
      <sheetName val="Fd. 0550-SCIAL"/>
      <sheetName val="Fd. 0834-SCIAL"/>
      <sheetName val="Fd. 0848-SCIAL"/>
      <sheetName val="Fd. 0912-SCIAL"/>
      <sheetName val="Special Revenue Balance Sheet"/>
      <sheetName val="Special Revenue - Revenue &amp; Ex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550-SCIAL"/>
      <sheetName val="Fd. 0834-SCIAL"/>
      <sheetName val="Special Revenue Balance Sheet"/>
      <sheetName val="Special Revenue - Revenue &amp; Exp"/>
      <sheetName val="Fd. 0848-SCIAL"/>
      <sheetName val="Fd. 0912-SCIAL"/>
      <sheetName val="Fd. 0912-PY GAAP adj."/>
      <sheetName val="Fd. 0912-CY GAAP adj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550-SCIAL"/>
      <sheetName val="Fd. 0834-SCIAL"/>
      <sheetName val="Fd. 0848-SCIAL"/>
      <sheetName val="Fd. 0912-SCIAL"/>
      <sheetName val="Special Revenue Balance Sheet"/>
      <sheetName val="Special Revenue - Revenue &amp; Exp"/>
      <sheetName val="Fd. 0912-PY GAAP adj."/>
      <sheetName val="Fd. 0912-CY GAAP adj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J25" totalsRowShown="0" headerRowDxfId="67" dataDxfId="65" headerRowBorderDxfId="66" tableBorderDxfId="64" headerRowCellStyle="Normal 2" dataCellStyle="Comma">
  <autoFilter ref="A4:J25" xr:uid="{00000000-0009-0000-0100-000001000000}"/>
  <tableColumns count="10">
    <tableColumn id="1" xr3:uid="{00000000-0010-0000-0000-000001000000}" name="Column1" dataDxfId="63" dataCellStyle="Normal 2"/>
    <tableColumn id="2" xr3:uid="{00000000-0010-0000-0000-000002000000}" name="Class 1" dataDxfId="62" dataCellStyle="Comma"/>
    <tableColumn id="3" xr3:uid="{00000000-0010-0000-0000-000003000000}" name="Class 2" dataDxfId="61" dataCellStyle="Comma"/>
    <tableColumn id="4" xr3:uid="{00000000-0010-0000-0000-000004000000}" name="Class 3" dataDxfId="60" dataCellStyle="Comma"/>
    <tableColumn id="5" xr3:uid="{00000000-0010-0000-0000-000005000000}" name="Class 3+" dataDxfId="59" dataCellStyle="Comma"/>
    <tableColumn id="6" xr3:uid="{00000000-0010-0000-0000-000006000000}" name="Class 4" dataDxfId="58" dataCellStyle="Comma"/>
    <tableColumn id="7" xr3:uid="{00000000-0010-0000-0000-000007000000}" name="Class 4+" dataDxfId="57" dataCellStyle="Comma"/>
    <tableColumn id="8" xr3:uid="{00000000-0010-0000-0000-000008000000}" name="Class 5" dataDxfId="56" dataCellStyle="Comma"/>
    <tableColumn id="9" xr3:uid="{00000000-0010-0000-0000-000009000000}" name="Class 6" dataDxfId="55" dataCellStyle="Comma"/>
    <tableColumn id="10" xr3:uid="{00000000-0010-0000-0000-00000A000000}" name="Class 7" dataDxfId="54" dataCellStyle="Comma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1"/>
  <sheetViews>
    <sheetView zoomScale="85" zoomScaleNormal="85" zoomScaleSheetLayoutView="100" workbookViewId="0">
      <selection activeCell="A4" sqref="A4:A5"/>
    </sheetView>
  </sheetViews>
  <sheetFormatPr defaultRowHeight="12.75"/>
  <cols>
    <col min="1" max="1" width="58.7109375" style="4" customWidth="1"/>
    <col min="2" max="6" width="14" style="4" customWidth="1"/>
    <col min="7" max="10" width="15.5703125" style="4" customWidth="1"/>
    <col min="11" max="16384" width="9.140625" style="4"/>
  </cols>
  <sheetData>
    <row r="1" spans="1:11" s="2" customFormat="1" ht="24.95" customHeight="1">
      <c r="A1" s="316" t="s">
        <v>0</v>
      </c>
      <c r="B1" s="316"/>
      <c r="C1" s="316"/>
      <c r="D1" s="316"/>
      <c r="E1" s="316"/>
      <c r="F1" s="316"/>
      <c r="G1" s="316"/>
      <c r="H1" s="316"/>
      <c r="I1" s="316"/>
      <c r="J1" s="316"/>
    </row>
    <row r="2" spans="1:11" s="2" customFormat="1" ht="24.95" customHeight="1">
      <c r="A2" s="317" t="s">
        <v>215</v>
      </c>
      <c r="B2" s="317"/>
      <c r="C2" s="317"/>
      <c r="D2" s="317"/>
      <c r="E2" s="317"/>
      <c r="F2" s="317"/>
      <c r="G2" s="317"/>
      <c r="H2" s="317"/>
      <c r="I2" s="317"/>
      <c r="J2" s="317"/>
    </row>
    <row r="3" spans="1:11" ht="24.95" customHeight="1">
      <c r="A3" s="3"/>
      <c r="B3" s="3"/>
      <c r="C3" s="3"/>
      <c r="D3" s="3"/>
      <c r="E3" s="3"/>
      <c r="F3" s="3"/>
      <c r="G3" s="3"/>
      <c r="H3" s="3"/>
      <c r="I3" s="3"/>
      <c r="J3" s="3"/>
    </row>
    <row r="4" spans="1:11" s="5" customFormat="1" ht="30" customHeight="1">
      <c r="A4" s="220" t="s">
        <v>216</v>
      </c>
      <c r="B4" s="221" t="s">
        <v>1</v>
      </c>
      <c r="C4" s="221" t="s">
        <v>2</v>
      </c>
      <c r="D4" s="221" t="s">
        <v>3</v>
      </c>
      <c r="E4" s="221" t="s">
        <v>4</v>
      </c>
      <c r="F4" s="221" t="s">
        <v>5</v>
      </c>
      <c r="G4" s="221" t="s">
        <v>6</v>
      </c>
      <c r="H4" s="221" t="s">
        <v>7</v>
      </c>
      <c r="I4" s="221" t="s">
        <v>8</v>
      </c>
      <c r="J4" s="221" t="s">
        <v>9</v>
      </c>
    </row>
    <row r="5" spans="1:11" s="5" customFormat="1" ht="30" customHeight="1" thickBot="1">
      <c r="A5" s="232" t="s">
        <v>10</v>
      </c>
      <c r="B5" s="233">
        <v>12</v>
      </c>
      <c r="C5" s="233">
        <v>9</v>
      </c>
      <c r="D5" s="233">
        <v>14</v>
      </c>
      <c r="E5" s="233">
        <v>14</v>
      </c>
      <c r="F5" s="233">
        <v>8</v>
      </c>
      <c r="G5" s="233">
        <v>6</v>
      </c>
      <c r="H5" s="233">
        <v>4</v>
      </c>
      <c r="I5" s="233">
        <v>5</v>
      </c>
      <c r="J5" s="233">
        <v>5</v>
      </c>
    </row>
    <row r="6" spans="1:11" s="5" customFormat="1" ht="30" customHeight="1" thickTop="1">
      <c r="A6" s="222" t="s">
        <v>11</v>
      </c>
      <c r="B6" s="223">
        <f>AVERAGE('Class 1'!C64:N64)</f>
        <v>-18244.788333333305</v>
      </c>
      <c r="C6" s="223">
        <f>AVERAGE('Class 2'!C64:K64)</f>
        <v>175008.45555555561</v>
      </c>
      <c r="D6" s="223">
        <f>AVERAGE('Class 3'!C64:P64)</f>
        <v>359836.91307692311</v>
      </c>
      <c r="E6" s="223">
        <f>AVERAGE('Class 3+'!C64:P64)</f>
        <v>916583.27357142861</v>
      </c>
      <c r="F6" s="223">
        <f>AVERAGE('Class 4'!C64:J64)</f>
        <v>249779.48749999999</v>
      </c>
      <c r="G6" s="223">
        <f>AVERAGE('Class 4+'!C64:H64)</f>
        <v>-134823.27399999974</v>
      </c>
      <c r="H6" s="223">
        <f>AVERAGE('Class 5'!C64:F64)</f>
        <v>1758312.5525</v>
      </c>
      <c r="I6" s="223">
        <f>AVERAGE('Class 6'!C64:G64)</f>
        <v>2103770.7999999998</v>
      </c>
      <c r="J6" s="223">
        <f>AVERAGE('Class 7'!C64:G64)</f>
        <v>15468215.5</v>
      </c>
    </row>
    <row r="7" spans="1:11" s="5" customFormat="1" ht="30" customHeight="1">
      <c r="A7" s="222" t="s">
        <v>12</v>
      </c>
      <c r="B7" s="224">
        <f>AVERAGE('Class 1'!C69:N69)</f>
        <v>-0.37702358942909636</v>
      </c>
      <c r="C7" s="225">
        <f>AVERAGE('Class 2'!C69:K69)</f>
        <v>0.25113172391441724</v>
      </c>
      <c r="D7" s="225" t="e">
        <f>AVERAGE('Class 3'!C69:P69)</f>
        <v>#DIV/0!</v>
      </c>
      <c r="E7" s="225">
        <f>AVERAGE('Class 3+'!C69:P69)</f>
        <v>0.55332175933426242</v>
      </c>
      <c r="F7" s="225">
        <f>AVERAGE('Class 4'!C69:J69)</f>
        <v>0.11174688060100929</v>
      </c>
      <c r="G7" s="226" t="e">
        <f>AVERAGE('Class 4+'!C69:H69)</f>
        <v>#DIV/0!</v>
      </c>
      <c r="H7" s="225">
        <f>AVERAGE('Class 5'!C69:F69)</f>
        <v>0.61412370342379385</v>
      </c>
      <c r="I7" s="225">
        <f>AVERAGE('Class 6'!C69:G69)</f>
        <v>0.21690289695816811</v>
      </c>
      <c r="J7" s="225" t="e">
        <f>AVERAGE('Class 7'!C69:G69)</f>
        <v>#DIV/0!</v>
      </c>
    </row>
    <row r="8" spans="1:11" s="5" customFormat="1" ht="30" customHeight="1">
      <c r="A8" s="222" t="s">
        <v>13</v>
      </c>
      <c r="B8" s="227">
        <f>MAX('Class 1'!C64:N64)</f>
        <v>585513</v>
      </c>
      <c r="C8" s="227">
        <f>MAX('Class 2'!C64:K64)</f>
        <v>681287.10000000033</v>
      </c>
      <c r="D8" s="227">
        <f>MAX('Class 3'!C64:P64)</f>
        <v>2053929.55</v>
      </c>
      <c r="E8" s="227">
        <f>MAX('Class 3+'!C64:P64)</f>
        <v>3407721.68</v>
      </c>
      <c r="F8" s="227">
        <f>MAX('Class 4'!C64:J64)</f>
        <v>994093</v>
      </c>
      <c r="G8" s="227">
        <f>MAX('Class 4+'!C64:H64)</f>
        <v>293758</v>
      </c>
      <c r="H8" s="227">
        <f>MAX('Class 5'!C64:F64)</f>
        <v>3955631</v>
      </c>
      <c r="I8" s="227">
        <f>MAX('Class 6'!C64:G64)</f>
        <v>5179722</v>
      </c>
      <c r="J8" s="227">
        <f>MAX('Class 7'!C64:G64)</f>
        <v>46800299</v>
      </c>
    </row>
    <row r="9" spans="1:11" s="5" customFormat="1" ht="30" customHeight="1">
      <c r="A9" s="222" t="s">
        <v>14</v>
      </c>
      <c r="B9" s="225">
        <f>MAX('Class 1'!C69:N69)</f>
        <v>1.4311816244056599</v>
      </c>
      <c r="C9" s="225">
        <f>MAX('Class 2'!C69:K69)</f>
        <v>0.77655509638893094</v>
      </c>
      <c r="D9" s="225" t="e">
        <f>MAX('Class 3'!C69:P69)</f>
        <v>#DIV/0!</v>
      </c>
      <c r="E9" s="225">
        <f>MAX('Class 3+'!C69:P69)</f>
        <v>1.5861842937623483</v>
      </c>
      <c r="F9" s="225">
        <f>MAX('Class 4'!C69:J69)</f>
        <v>0.53176944976104712</v>
      </c>
      <c r="G9" s="225" t="e">
        <f>MAX('Class 4+'!C69:H69)</f>
        <v>#DIV/0!</v>
      </c>
      <c r="H9" s="225">
        <f>MAX('Class 5'!C69:F69)</f>
        <v>1.2666494340946437</v>
      </c>
      <c r="I9" s="225">
        <f>MAX('Class 6'!C69:G69)</f>
        <v>0.62500582203657129</v>
      </c>
      <c r="J9" s="225" t="e">
        <f>MAX('Class 7'!C69:G69)</f>
        <v>#DIV/0!</v>
      </c>
    </row>
    <row r="10" spans="1:11" s="5" customFormat="1" ht="30" customHeight="1">
      <c r="A10" s="222" t="s">
        <v>15</v>
      </c>
      <c r="B10" s="223">
        <f>MIN('Class 1'!C64:N64)</f>
        <v>-1550615</v>
      </c>
      <c r="C10" s="223">
        <f>MIN('Class 2'!C64:K64)</f>
        <v>-196966.62</v>
      </c>
      <c r="D10" s="223">
        <f>MIN('Class 3'!C64:P64)</f>
        <v>-423988.6100000001</v>
      </c>
      <c r="E10" s="223">
        <f>MIN('Class 3+'!C64:P64)</f>
        <v>-367141</v>
      </c>
      <c r="F10" s="223">
        <f>MIN('Class 4'!C64:J64)</f>
        <v>-232703.41000000015</v>
      </c>
      <c r="G10" s="223">
        <f>MIN('Class 4+'!C64:H64)</f>
        <v>-475760.2099999988</v>
      </c>
      <c r="H10" s="227">
        <f>MIN('Class 5'!C64:F64)</f>
        <v>-137206</v>
      </c>
      <c r="I10" s="227">
        <f>MIN('Class 6'!C64:G64)</f>
        <v>-720684</v>
      </c>
      <c r="J10" s="228">
        <f>MIN('Class 7'!C64:G64)</f>
        <v>2603383</v>
      </c>
    </row>
    <row r="11" spans="1:11" s="5" customFormat="1" ht="30" customHeight="1" thickBot="1">
      <c r="A11" s="238" t="s">
        <v>16</v>
      </c>
      <c r="B11" s="239">
        <f>MIN('Class 1'!C69:N69)</f>
        <v>-4.9700632390036894</v>
      </c>
      <c r="C11" s="239">
        <f>MIN('Class 2'!C69:K69)</f>
        <v>-0.23440362075730439</v>
      </c>
      <c r="D11" s="239" t="e">
        <f>MIN('Class 3'!C69:P69)</f>
        <v>#DIV/0!</v>
      </c>
      <c r="E11" s="240">
        <f>MIN('Class 3+'!C69:P69)</f>
        <v>-0.32813435650484324</v>
      </c>
      <c r="F11" s="239">
        <f>MIN('Class 4'!C69:J69)</f>
        <v>-0.12250915413470004</v>
      </c>
      <c r="G11" s="239" t="e">
        <f>MIN('Class 4+'!C69:H69)</f>
        <v>#DIV/0!</v>
      </c>
      <c r="H11" s="240">
        <f>MIN('Class 5'!C69:F69)</f>
        <v>1.3538410363209633E-2</v>
      </c>
      <c r="I11" s="240">
        <f>MIN('Class 6'!C69:G69)</f>
        <v>-9.0912690020066286E-2</v>
      </c>
      <c r="J11" s="239" t="e">
        <f>MIN('Class 7'!C69:G69)</f>
        <v>#DIV/0!</v>
      </c>
    </row>
    <row r="12" spans="1:11" ht="35.25" customHeight="1" thickTop="1">
      <c r="A12" s="222" t="s">
        <v>217</v>
      </c>
      <c r="B12" s="229">
        <f>SUM('Class 1'!C32:N32)</f>
        <v>4797445.71</v>
      </c>
      <c r="C12" s="229">
        <f>SUM('Class 2'!C32:K32)</f>
        <v>5613246.29</v>
      </c>
      <c r="D12" s="254">
        <f>SUM('Class 3'!C32:P32)</f>
        <v>13659187.558000002</v>
      </c>
      <c r="E12" s="229">
        <f>SUM('Class 3+'!C32:P32)</f>
        <v>24023083.609999999</v>
      </c>
      <c r="F12" s="229">
        <f>SUM('Class 4'!C32:J32)</f>
        <v>18415791.34</v>
      </c>
      <c r="G12" s="229">
        <f>SUM('Class 4+'!C32:H32)</f>
        <v>20853221.119999997</v>
      </c>
      <c r="H12" s="229">
        <f>SUM('Class 5'!C32:F32)</f>
        <v>26184186.91</v>
      </c>
      <c r="I12" s="229">
        <f>SUM('Class 6'!C32:G32)</f>
        <v>54510439.140000001</v>
      </c>
      <c r="J12" s="229">
        <f>SUM('Class 7'!C32:G32)</f>
        <v>183340056.98000002</v>
      </c>
      <c r="K12" s="7"/>
    </row>
    <row r="13" spans="1:11" ht="35.25" customHeight="1" thickBot="1">
      <c r="A13" s="238" t="s">
        <v>218</v>
      </c>
      <c r="B13" s="253">
        <f>SUM('Class 1'!C52:N52)</f>
        <v>6040267.1700000009</v>
      </c>
      <c r="C13" s="253">
        <f>SUM('Class 2'!C52:K52)</f>
        <v>6433401.3999999994</v>
      </c>
      <c r="D13" s="253">
        <f>SUM('Class 3'!C52:P52)</f>
        <v>14094371.970000001</v>
      </c>
      <c r="E13" s="253">
        <f>SUM('Class 3+'!C52:P52)</f>
        <v>23797670.280000001</v>
      </c>
      <c r="F13" s="253">
        <f>SUM('Class 4'!C52:J52)</f>
        <v>18208975.82</v>
      </c>
      <c r="G13" s="253">
        <f>SUM('Class 4+'!C52:H52)</f>
        <v>20745921.739999998</v>
      </c>
      <c r="H13" s="253">
        <f>SUM('Class 5'!C52:F52)</f>
        <v>22375974.829999998</v>
      </c>
      <c r="I13" s="253">
        <f>SUM('Class 6'!C52:G52)</f>
        <v>51670807.159999996</v>
      </c>
      <c r="J13" s="253">
        <f>SUM('Class 7'!C52:G52)</f>
        <v>167502670.22000003</v>
      </c>
      <c r="K13" s="7"/>
    </row>
    <row r="14" spans="1:11" ht="35.25" customHeight="1" thickTop="1">
      <c r="A14" s="8" t="s">
        <v>17</v>
      </c>
      <c r="B14" s="229">
        <f>AVERAGE('Class 1'!C32:N32)</f>
        <v>399787.14250000002</v>
      </c>
      <c r="C14" s="229">
        <f>AVERAGE('Class 2'!C32:K32)</f>
        <v>623694.03222222219</v>
      </c>
      <c r="D14" s="229">
        <f>AVERAGE('Class 3'!C32:P32)</f>
        <v>975656.25414285727</v>
      </c>
      <c r="E14" s="229">
        <f>AVERAGE('Class 3+'!C32:P32)</f>
        <v>1715934.5435714286</v>
      </c>
      <c r="F14" s="229">
        <f>AVERAGE('Class 4'!C32:J32)</f>
        <v>2301973.9175</v>
      </c>
      <c r="G14" s="229">
        <f>AVERAGE('Class 4+'!C32:H32)</f>
        <v>3475536.853333333</v>
      </c>
      <c r="H14" s="229">
        <f>AVERAGE('Class 5'!C32:F32)</f>
        <v>6546046.7275</v>
      </c>
      <c r="I14" s="229">
        <f>AVERAGE('Class 6'!C32:G32)</f>
        <v>10902087.828</v>
      </c>
      <c r="J14" s="229">
        <f>AVERAGE('Class 7'!C32:G32)</f>
        <v>36668011.396000005</v>
      </c>
      <c r="K14" s="7"/>
    </row>
    <row r="15" spans="1:11" ht="35.25" customHeight="1">
      <c r="A15" s="8" t="s">
        <v>18</v>
      </c>
      <c r="B15" s="229">
        <f>AVERAGE('Class 1'!C52:N52)</f>
        <v>503355.59750000009</v>
      </c>
      <c r="C15" s="229">
        <f>AVERAGE('Class 2'!C52:K52)</f>
        <v>714822.37777777773</v>
      </c>
      <c r="D15" s="229">
        <f>AVERAGE('Class 3'!C52:P52)</f>
        <v>1006740.8550000001</v>
      </c>
      <c r="E15" s="229">
        <f>AVERAGE('Class 3+'!C52:P52)</f>
        <v>1699833.5914285716</v>
      </c>
      <c r="F15" s="229">
        <f>AVERAGE('Class 4'!C52:J52)</f>
        <v>2276121.9775</v>
      </c>
      <c r="G15" s="229">
        <f>AVERAGE('Class 4+'!C52:H52)</f>
        <v>3457653.6233333331</v>
      </c>
      <c r="H15" s="229">
        <f>AVERAGE('Class 5'!C52:F52)</f>
        <v>5593993.7074999996</v>
      </c>
      <c r="I15" s="229">
        <f>AVERAGE('Class 6'!C52:G52)</f>
        <v>10334161.432</v>
      </c>
      <c r="J15" s="229">
        <f>AVERAGE('Class 7'!C52:G52)</f>
        <v>33500534.044000007</v>
      </c>
      <c r="K15" s="7"/>
    </row>
    <row r="16" spans="1:11" ht="31.5" customHeight="1">
      <c r="A16" s="8" t="s">
        <v>19</v>
      </c>
      <c r="B16" s="229">
        <f>AVERAGE('Class 1'!C57:N57)</f>
        <v>-103568.45499999997</v>
      </c>
      <c r="C16" s="229">
        <f>AVERAGE('Class 2'!C57:K57)</f>
        <v>-91128.34555555557</v>
      </c>
      <c r="D16" s="229">
        <f>AVERAGE('Class 3'!C57:P57)</f>
        <v>-31084.600857142883</v>
      </c>
      <c r="E16" s="229">
        <f>AVERAGE('Class 3+'!C57:P57)</f>
        <v>16100.952142857148</v>
      </c>
      <c r="F16" s="229">
        <f>AVERAGE('Class 4'!C57:J57)</f>
        <v>25851.939999999944</v>
      </c>
      <c r="G16" s="229">
        <f>AVERAGE('Class 4+'!C57:H57)</f>
        <v>17883.230000000058</v>
      </c>
      <c r="H16" s="229">
        <f>AVERAGE('Class 5'!C57:F57)</f>
        <v>952053.02</v>
      </c>
      <c r="I16" s="229">
        <f>AVERAGE('Class 6'!C57:G57)</f>
        <v>567926.39599999995</v>
      </c>
      <c r="J16" s="229">
        <f>AVERAGE('Class 7'!C57:G57)</f>
        <v>3167477.3519999981</v>
      </c>
    </row>
    <row r="17" spans="1:11" ht="35.25" customHeight="1">
      <c r="A17" s="8" t="s">
        <v>20</v>
      </c>
      <c r="B17" s="229">
        <f>AVERAGE('Class 1'!C59:N59)</f>
        <v>-136228.48583333331</v>
      </c>
      <c r="C17" s="229">
        <f>AVERAGE('Class 2'!C59:K59)</f>
        <v>-201257.67222222223</v>
      </c>
      <c r="D17" s="229">
        <f>AVERAGE('Class 3'!C59:P59)</f>
        <v>-116435.98942857145</v>
      </c>
      <c r="E17" s="229">
        <f>AVERAGE('Class 3+'!C59:P59)</f>
        <v>-207625.66</v>
      </c>
      <c r="F17" s="229">
        <f>AVERAGE('Class 4'!C59:J59)</f>
        <v>-257826.63500000007</v>
      </c>
      <c r="G17" s="229">
        <f>AVERAGE('Class 4+'!C59:H59)</f>
        <v>-90059.751666666605</v>
      </c>
      <c r="H17" s="229">
        <f>AVERAGE('Class 5'!C59:F59)</f>
        <v>-25854.594999999972</v>
      </c>
      <c r="I17" s="229">
        <f>AVERAGE('Class 6'!C59:G59)</f>
        <v>-192191.79800000004</v>
      </c>
      <c r="J17" s="229">
        <f>AVERAGE('Class 7'!C59:G59)</f>
        <v>354849.39599999803</v>
      </c>
      <c r="K17" s="7"/>
    </row>
    <row r="18" spans="1:11" ht="35.25" customHeight="1">
      <c r="A18" s="8" t="s">
        <v>21</v>
      </c>
      <c r="B18" s="229">
        <f>AVERAGE('Class 1'!C60:N60)</f>
        <v>97014.930833333347</v>
      </c>
      <c r="C18" s="229">
        <f>AVERAGE('Class 2'!C60:K60)</f>
        <v>197426.41666666666</v>
      </c>
      <c r="D18" s="229">
        <f>AVERAGE('Class 3'!C60:P60)</f>
        <v>119129.41057142853</v>
      </c>
      <c r="E18" s="229">
        <f>AVERAGE('Class 3+'!C60:P60)</f>
        <v>854571.86857142858</v>
      </c>
      <c r="F18" s="229">
        <f>AVERAGE('Class 4'!C60:J60)</f>
        <v>229115.77124999999</v>
      </c>
      <c r="G18" s="229">
        <f>AVERAGE('Class 4+'!C60:H60)</f>
        <v>186229.89666666673</v>
      </c>
      <c r="H18" s="229">
        <f>AVERAGE('Class 5'!C60:F60)</f>
        <v>1002985.52</v>
      </c>
      <c r="I18" s="229">
        <f>AVERAGE('Class 6'!C60:G60)</f>
        <v>700705.5959999999</v>
      </c>
      <c r="J18" s="229">
        <f>AVERAGE('Class 7'!C60:G60)</f>
        <v>3167476.751999998</v>
      </c>
      <c r="K18" s="7"/>
    </row>
    <row r="19" spans="1:11" ht="35.25" customHeight="1">
      <c r="A19" s="8" t="s">
        <v>22</v>
      </c>
      <c r="B19" s="229">
        <f>AVERAGE('Class 1'!C62:N62)</f>
        <v>64354.900000000016</v>
      </c>
      <c r="C19" s="229">
        <f>AVERAGE('Class 2'!C62:K62)</f>
        <v>87297.089999999982</v>
      </c>
      <c r="D19" s="229">
        <f>AVERAGE('Class 3'!C62:P62)</f>
        <v>33778.021999999961</v>
      </c>
      <c r="E19" s="229">
        <f>AVERAGE('Class 3+'!C62:P62)</f>
        <v>630845.25642857142</v>
      </c>
      <c r="F19" s="229">
        <f>AVERAGE('Class 4'!C62:J62)</f>
        <v>-54562.803750000006</v>
      </c>
      <c r="G19" s="229">
        <f>AVERAGE('Class 4+'!C62:H62)</f>
        <v>78286.915000000052</v>
      </c>
      <c r="H19" s="229">
        <f>AVERAGE('Class 5'!C62:F62)</f>
        <v>25077.905000000028</v>
      </c>
      <c r="I19" s="229">
        <f>AVERAGE('Class 6'!C62:G62)</f>
        <v>-59412.598000000093</v>
      </c>
      <c r="J19" s="229">
        <f>AVERAGE('Class 7'!C62:G62)</f>
        <v>354848.79599999805</v>
      </c>
      <c r="K19" s="7"/>
    </row>
    <row r="20" spans="1:11" ht="30" customHeight="1">
      <c r="A20" s="8" t="s">
        <v>194</v>
      </c>
      <c r="B20" s="236">
        <f>AVERAGE('Class 1'!C127:N127)</f>
        <v>-0.88840678242121773</v>
      </c>
      <c r="C20" s="237">
        <f>AVERAGE('Class 2'!C127:K127)</f>
        <v>-0.16077449213838818</v>
      </c>
      <c r="D20" s="237" t="e">
        <f>AVERAGE('Class 3'!C127:P127)</f>
        <v>#DIV/0!</v>
      </c>
      <c r="E20" s="237">
        <f>AVERAGE('Class 3+'!C127:P127)</f>
        <v>-3.4662498196098173E-3</v>
      </c>
      <c r="F20" s="237">
        <f>AVERAGE('Class 4'!C127:J127)</f>
        <v>1.2894832656165056E-2</v>
      </c>
      <c r="G20" s="237" t="e">
        <f>AVERAGE('Class 4+'!C127:H127)</f>
        <v>#DIV/0!</v>
      </c>
      <c r="H20" s="237">
        <f>AVERAGE('Class 5'!C127:F127)</f>
        <v>0.7721043805125426</v>
      </c>
      <c r="I20" s="237">
        <f>AVERAGE('Class 6'!C127:G127)</f>
        <v>4.7175502404076988E-2</v>
      </c>
      <c r="J20" s="237" t="e">
        <f>AVERAGE('Class 7'!C127:G127)</f>
        <v>#DIV/0!</v>
      </c>
    </row>
    <row r="21" spans="1:11" ht="30" customHeight="1">
      <c r="A21" s="8" t="s">
        <v>189</v>
      </c>
      <c r="B21" s="230">
        <f>AVERAGE('Class 1'!C109:N109)</f>
        <v>5838.6791666666659</v>
      </c>
      <c r="C21" s="230">
        <f>AVERAGE('Class 2'!C109:K109)</f>
        <v>16914.224444444444</v>
      </c>
      <c r="D21" s="230">
        <f>AVERAGE('Class 3'!C109:P109)</f>
        <v>22877.102307692308</v>
      </c>
      <c r="E21" s="230">
        <f>AVERAGE('Class 3+'!C109:P109)</f>
        <v>31574.802857142855</v>
      </c>
      <c r="F21" s="230">
        <f>AVERAGE('Class 4'!C109:J109)</f>
        <v>87818.888750000013</v>
      </c>
      <c r="G21" s="230">
        <f>AVERAGE('Class 4+'!C109:H109)</f>
        <v>75166.720000000001</v>
      </c>
      <c r="H21" s="230">
        <f>AVERAGE('Class 5'!C109:F109)</f>
        <v>208138.11499999999</v>
      </c>
      <c r="I21" s="230">
        <f>AVERAGE('Class 6'!C109:G109)</f>
        <v>230829.4</v>
      </c>
      <c r="J21" s="230">
        <f>AVERAGE('Class 7'!C109:G109)</f>
        <v>1499516.26</v>
      </c>
    </row>
    <row r="22" spans="1:11" ht="30" customHeight="1" thickBot="1">
      <c r="A22" s="234" t="s">
        <v>23</v>
      </c>
      <c r="B22" s="235">
        <f>AVERAGE('Class 1'!C141:N141)</f>
        <v>2</v>
      </c>
      <c r="C22" s="235">
        <f>AVERAGE('Class 2'!C141:K141)</f>
        <v>2.2222222222222223</v>
      </c>
      <c r="D22" s="235">
        <f>AVERAGE('Class 3'!C141:P141)</f>
        <v>3</v>
      </c>
      <c r="E22" s="235">
        <f>AVERAGE('Class 3+'!C141:P141)</f>
        <v>5.3571428571428568</v>
      </c>
      <c r="F22" s="235">
        <f>AVERAGE('Class 4'!C141:J141)</f>
        <v>5.375</v>
      </c>
      <c r="G22" s="235">
        <f>AVERAGE('Class 4+'!C141:H141)</f>
        <v>14.8</v>
      </c>
      <c r="H22" s="235">
        <f>AVERAGE('Class 5'!C141:F141)</f>
        <v>24.5</v>
      </c>
      <c r="I22" s="235">
        <f>AVERAGE('Class 6'!C141:G141)</f>
        <v>28</v>
      </c>
      <c r="J22" s="235">
        <f>AVERAGE('Class 7'!C141:G141)</f>
        <v>151.75</v>
      </c>
    </row>
    <row r="23" spans="1:11" ht="30" customHeight="1" thickTop="1">
      <c r="A23" s="8" t="s">
        <v>24</v>
      </c>
      <c r="B23" s="231">
        <f>AVERAGE('Class 1'!C143:N143)</f>
        <v>11786.125</v>
      </c>
      <c r="C23" s="231">
        <f>AVERAGE('Class 2'!C143:K143)</f>
        <v>11734.888888888889</v>
      </c>
      <c r="D23" s="231">
        <f>AVERAGE('Class 3'!C143:P143)</f>
        <v>19170.916666666668</v>
      </c>
      <c r="E23" s="231">
        <f>AVERAGE('Class 3+'!C143:P143)</f>
        <v>31865.642857142859</v>
      </c>
      <c r="F23" s="231">
        <f>AVERAGE('Class 4'!C143:J143)</f>
        <v>51216.125</v>
      </c>
      <c r="G23" s="231">
        <f>AVERAGE('Class 4+'!C143:H143)</f>
        <v>55656.800000000003</v>
      </c>
      <c r="H23" s="231">
        <f>AVERAGE('Class 5'!C143:F143)</f>
        <v>93610.666666666672</v>
      </c>
      <c r="I23" s="231">
        <f>AVERAGE('Class 6'!C143:G143)</f>
        <v>176835.6</v>
      </c>
      <c r="J23" s="231">
        <f>AVERAGE('Class 7'!C143:G143)</f>
        <v>705452.47149999999</v>
      </c>
    </row>
    <row r="24" spans="1:11" ht="30" customHeight="1">
      <c r="A24" s="8" t="s">
        <v>25</v>
      </c>
      <c r="B24" s="231">
        <f>AVERAGE('Class 1'!C144:N144)</f>
        <v>7098.625</v>
      </c>
      <c r="C24" s="231">
        <f>AVERAGE('Class 2'!C144:K144)</f>
        <v>3853.6666666666665</v>
      </c>
      <c r="D24" s="231">
        <f>AVERAGE('Class 3'!C144:P144)</f>
        <v>12259.083333333334</v>
      </c>
      <c r="E24" s="231">
        <f>AVERAGE('Class 3+'!C144:P144)</f>
        <v>12773.357142857143</v>
      </c>
      <c r="F24" s="231">
        <f>AVERAGE('Class 4'!C144:J144)</f>
        <v>18660.875</v>
      </c>
      <c r="G24" s="231">
        <f>AVERAGE('Class 4+'!C144:H144)</f>
        <v>21869.200000000001</v>
      </c>
      <c r="H24" s="231">
        <f>AVERAGE('Class 5'!C144:F144)</f>
        <v>55122.333333333336</v>
      </c>
      <c r="I24" s="231">
        <f>AVERAGE('Class 6'!C144:G144)</f>
        <v>74298.2</v>
      </c>
      <c r="J24" s="231">
        <f>AVERAGE('Class 7'!C144:G144)</f>
        <v>299578.25</v>
      </c>
    </row>
    <row r="25" spans="1:11" ht="19.5" customHeight="1">
      <c r="A25" s="8" t="s">
        <v>26</v>
      </c>
      <c r="B25" s="231">
        <f>AVERAGE('Class 1'!C145:N145)</f>
        <v>18884.75</v>
      </c>
      <c r="C25" s="231">
        <f>AVERAGE('Class 2'!C145:K145)</f>
        <v>15588.555555555555</v>
      </c>
      <c r="D25" s="231">
        <f>AVERAGE('Class 3'!C145:P145)</f>
        <v>31430</v>
      </c>
      <c r="E25" s="231">
        <f>AVERAGE('Class 3+'!C145:P145)</f>
        <v>44639</v>
      </c>
      <c r="F25" s="231">
        <f>AVERAGE('Class 4'!C145:J145)</f>
        <v>69877</v>
      </c>
      <c r="G25" s="231">
        <f>AVERAGE('Class 4+'!C145:H145)</f>
        <v>77526</v>
      </c>
      <c r="H25" s="231">
        <f>AVERAGE('Class 5'!C145:F145)</f>
        <v>148733</v>
      </c>
      <c r="I25" s="231">
        <f>AVERAGE('Class 6'!C145:G145)</f>
        <v>251133.8</v>
      </c>
      <c r="J25" s="231">
        <f>AVERAGE('Class 7'!C145:G145)</f>
        <v>1005030.75</v>
      </c>
    </row>
    <row r="26" spans="1:11" ht="19.5" customHeight="1">
      <c r="A26" s="8"/>
      <c r="B26" s="9">
        <f t="shared" ref="B26:J26" si="0">+B24+B23-B25</f>
        <v>0</v>
      </c>
      <c r="C26" s="9">
        <f t="shared" si="0"/>
        <v>0</v>
      </c>
      <c r="D26" s="9">
        <f t="shared" si="0"/>
        <v>0</v>
      </c>
      <c r="E26" s="9">
        <f t="shared" si="0"/>
        <v>0</v>
      </c>
      <c r="F26" s="9">
        <f t="shared" si="0"/>
        <v>0</v>
      </c>
      <c r="G26" s="9">
        <f t="shared" si="0"/>
        <v>0</v>
      </c>
      <c r="H26" s="9">
        <f t="shared" si="0"/>
        <v>0</v>
      </c>
      <c r="I26" s="9">
        <f t="shared" si="0"/>
        <v>0</v>
      </c>
      <c r="J26" s="9">
        <f t="shared" si="0"/>
        <v>-2.8500000014901161E-2</v>
      </c>
    </row>
    <row r="27" spans="1:11" ht="30" customHeight="1">
      <c r="A27" s="4" t="s">
        <v>27</v>
      </c>
    </row>
    <row r="28" spans="1:11" ht="30" customHeight="1">
      <c r="A28" s="4" t="s">
        <v>28</v>
      </c>
    </row>
    <row r="29" spans="1:11" ht="30" customHeight="1"/>
    <row r="30" spans="1:11" ht="30" customHeight="1"/>
    <row r="32" spans="1:11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</sheetData>
  <mergeCells count="2">
    <mergeCell ref="A1:J1"/>
    <mergeCell ref="A2:J2"/>
  </mergeCells>
  <conditionalFormatting sqref="B6:J11">
    <cfRule type="cellIs" dxfId="70" priority="6" operator="lessThan">
      <formula>0</formula>
    </cfRule>
  </conditionalFormatting>
  <conditionalFormatting sqref="B14:J20">
    <cfRule type="cellIs" dxfId="69" priority="5" operator="lessThan">
      <formula>0</formula>
    </cfRule>
  </conditionalFormatting>
  <conditionalFormatting sqref="B12:J12">
    <cfRule type="cellIs" dxfId="68" priority="3" operator="lessThan">
      <formula>0</formula>
    </cfRule>
  </conditionalFormatting>
  <printOptions horizontalCentered="1" verticalCentered="1"/>
  <pageMargins left="0.5" right="0.5" top="0.21" bottom="0.7" header="0.21" footer="0.5"/>
  <pageSetup scale="64" orientation="landscape" r:id="rId1"/>
  <headerFooter alignWithMargins="0">
    <oddHeader xml:space="preserve">&amp;C&amp;"Arial,Bold Italic"&amp;14 </oddHeader>
    <oddFooter>&amp;C&amp;14Fairs and Expositions</oddFooter>
  </headerFooter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46"/>
  <sheetViews>
    <sheetView view="pageBreakPreview" zoomScale="85" zoomScaleNormal="10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A62" sqref="A62"/>
    </sheetView>
  </sheetViews>
  <sheetFormatPr defaultRowHeight="12.75"/>
  <cols>
    <col min="1" max="1" width="4.7109375" style="10" customWidth="1"/>
    <col min="2" max="2" width="56.42578125" style="10" customWidth="1"/>
    <col min="3" max="7" width="12.7109375" style="10" customWidth="1"/>
    <col min="8" max="8" width="14.85546875" style="10" customWidth="1"/>
    <col min="9" max="9" width="17.85546875" style="95" customWidth="1"/>
    <col min="10" max="16384" width="9.140625" style="10"/>
  </cols>
  <sheetData>
    <row r="1" spans="1:9" ht="12" customHeight="1">
      <c r="A1" s="318"/>
      <c r="B1" s="319"/>
      <c r="C1" s="260"/>
      <c r="D1" s="260"/>
      <c r="E1" s="260"/>
      <c r="F1" s="260"/>
      <c r="G1" s="260"/>
    </row>
    <row r="2" spans="1:9" ht="12" customHeight="1">
      <c r="A2" s="320"/>
      <c r="B2" s="321"/>
      <c r="C2" s="327" t="s">
        <v>178</v>
      </c>
      <c r="D2" s="327" t="s">
        <v>179</v>
      </c>
      <c r="E2" s="327" t="s">
        <v>180</v>
      </c>
      <c r="F2" s="327" t="s">
        <v>181</v>
      </c>
      <c r="G2" s="324" t="s">
        <v>224</v>
      </c>
    </row>
    <row r="3" spans="1:9" ht="69" customHeight="1">
      <c r="A3" s="322"/>
      <c r="B3" s="323"/>
      <c r="C3" s="328"/>
      <c r="D3" s="328"/>
      <c r="E3" s="328"/>
      <c r="F3" s="328"/>
      <c r="G3" s="325"/>
      <c r="I3" s="10" t="s">
        <v>39</v>
      </c>
    </row>
    <row r="4" spans="1:9" ht="13.5" customHeight="1">
      <c r="A4" s="262" t="s">
        <v>227</v>
      </c>
      <c r="B4" s="12"/>
      <c r="C4" s="54"/>
      <c r="D4" s="54"/>
      <c r="E4" s="54"/>
      <c r="F4" s="15"/>
      <c r="G4" s="15"/>
    </row>
    <row r="5" spans="1:9" ht="13.5" customHeight="1">
      <c r="A5" s="267"/>
      <c r="B5" s="12" t="s">
        <v>40</v>
      </c>
      <c r="C5" s="14">
        <v>1792045</v>
      </c>
      <c r="D5" s="14">
        <v>706684</v>
      </c>
      <c r="E5" s="14">
        <v>-488357</v>
      </c>
      <c r="F5" s="14">
        <v>5564816</v>
      </c>
      <c r="G5" s="219">
        <v>1689013</v>
      </c>
    </row>
    <row r="6" spans="1:9" ht="13.5" customHeight="1">
      <c r="A6" s="267"/>
      <c r="B6" s="12" t="s">
        <v>214</v>
      </c>
      <c r="C6" s="30">
        <v>-1713963</v>
      </c>
      <c r="D6" s="30">
        <v>-3411201</v>
      </c>
      <c r="E6" s="30">
        <v>-3880628</v>
      </c>
      <c r="F6" s="30">
        <v>-494088</v>
      </c>
      <c r="G6" s="31">
        <v>-1208345</v>
      </c>
    </row>
    <row r="7" spans="1:9" ht="13.5" customHeight="1">
      <c r="A7" s="267"/>
      <c r="B7" s="12" t="s">
        <v>41</v>
      </c>
      <c r="C7" s="30">
        <v>0</v>
      </c>
      <c r="D7" s="30">
        <v>0</v>
      </c>
      <c r="E7" s="30">
        <v>0</v>
      </c>
      <c r="F7" s="30">
        <v>0</v>
      </c>
      <c r="G7" s="31">
        <v>5208</v>
      </c>
    </row>
    <row r="8" spans="1:9" s="40" customFormat="1" ht="13.5" customHeight="1">
      <c r="A8" s="262"/>
      <c r="B8" s="12" t="s">
        <v>42</v>
      </c>
      <c r="C8" s="31">
        <v>12600197</v>
      </c>
      <c r="D8" s="31">
        <v>8505682</v>
      </c>
      <c r="E8" s="31">
        <v>4963381</v>
      </c>
      <c r="F8" s="31">
        <v>5127055</v>
      </c>
      <c r="G8" s="31">
        <v>9333127</v>
      </c>
      <c r="I8" s="111"/>
    </row>
    <row r="9" spans="1:9" s="40" customFormat="1" ht="13.5" customHeight="1">
      <c r="A9" s="262"/>
      <c r="B9" s="12" t="s">
        <v>226</v>
      </c>
      <c r="C9" s="31">
        <v>0</v>
      </c>
      <c r="D9" s="31">
        <v>0</v>
      </c>
      <c r="E9" s="31">
        <v>0</v>
      </c>
      <c r="F9" s="31">
        <v>-41227</v>
      </c>
      <c r="G9" s="31">
        <v>-2156563</v>
      </c>
      <c r="I9" s="95">
        <f>SUM(C9:E9)</f>
        <v>0</v>
      </c>
    </row>
    <row r="10" spans="1:9" s="43" customFormat="1" ht="13.5" customHeight="1" thickBot="1">
      <c r="A10" s="263"/>
      <c r="B10" s="98" t="s">
        <v>43</v>
      </c>
      <c r="C10" s="67">
        <f>SUM(C5:C9)</f>
        <v>12678279</v>
      </c>
      <c r="D10" s="67">
        <f>SUM(D5:D9)</f>
        <v>5801165</v>
      </c>
      <c r="E10" s="67">
        <f>SUM(E5:E9)</f>
        <v>594396</v>
      </c>
      <c r="F10" s="67">
        <f>SUM(F5:F9)</f>
        <v>10156556</v>
      </c>
      <c r="G10" s="67">
        <f>SUM(G5:G9)</f>
        <v>7662440</v>
      </c>
      <c r="I10" s="95">
        <f>SUM(C10:E10)</f>
        <v>19073840</v>
      </c>
    </row>
    <row r="11" spans="1:9" s="22" customFormat="1" ht="13.5" customHeight="1">
      <c r="A11" s="241" t="s">
        <v>44</v>
      </c>
      <c r="B11" s="36"/>
      <c r="C11" s="42"/>
      <c r="D11" s="42"/>
      <c r="E11" s="42"/>
      <c r="F11" s="42"/>
      <c r="G11" s="42"/>
      <c r="I11" s="80"/>
    </row>
    <row r="12" spans="1:9" s="22" customFormat="1" ht="13.5" customHeight="1">
      <c r="A12" s="264"/>
      <c r="B12" s="23" t="s">
        <v>45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I12" s="95">
        <f>SUM(C12:E12)</f>
        <v>0</v>
      </c>
    </row>
    <row r="13" spans="1:9" s="22" customFormat="1" ht="13.5" customHeight="1">
      <c r="A13" s="264"/>
      <c r="B13" s="23" t="s">
        <v>46</v>
      </c>
      <c r="C13" s="24">
        <v>0</v>
      </c>
      <c r="D13" s="24">
        <v>0</v>
      </c>
      <c r="E13" s="24">
        <v>0</v>
      </c>
      <c r="F13" s="24">
        <v>151021</v>
      </c>
      <c r="G13" s="24">
        <v>0</v>
      </c>
      <c r="I13" s="95">
        <f>SUM(C13:E13)</f>
        <v>0</v>
      </c>
    </row>
    <row r="14" spans="1:9" s="22" customFormat="1" ht="13.5" customHeight="1" thickBot="1">
      <c r="A14" s="265"/>
      <c r="B14" s="32" t="s">
        <v>47</v>
      </c>
      <c r="C14" s="33">
        <v>0</v>
      </c>
      <c r="D14" s="33">
        <v>0</v>
      </c>
      <c r="E14" s="33">
        <v>512875</v>
      </c>
      <c r="F14" s="33">
        <v>0</v>
      </c>
      <c r="G14" s="33">
        <v>0</v>
      </c>
      <c r="I14" s="95">
        <f>SUM(C14:E14)</f>
        <v>512875</v>
      </c>
    </row>
    <row r="15" spans="1:9" ht="13.5" customHeight="1">
      <c r="A15" s="266" t="s">
        <v>48</v>
      </c>
      <c r="B15" s="25"/>
      <c r="C15" s="27"/>
      <c r="D15" s="27"/>
      <c r="E15" s="27"/>
      <c r="F15" s="27"/>
      <c r="G15" s="27"/>
    </row>
    <row r="16" spans="1:9" ht="13.5" customHeight="1">
      <c r="A16" s="267"/>
      <c r="B16" s="29" t="s">
        <v>49</v>
      </c>
      <c r="C16" s="30">
        <v>2029500</v>
      </c>
      <c r="D16" s="30">
        <v>2549690</v>
      </c>
      <c r="E16" s="30">
        <v>1982487</v>
      </c>
      <c r="F16" s="30">
        <v>21397</v>
      </c>
      <c r="G16" s="30">
        <v>2100445</v>
      </c>
    </row>
    <row r="17" spans="1:11" ht="13.5" customHeight="1">
      <c r="A17" s="267"/>
      <c r="B17" s="29" t="s">
        <v>50</v>
      </c>
      <c r="C17" s="30">
        <v>439057</v>
      </c>
      <c r="D17" s="30">
        <v>511456</v>
      </c>
      <c r="E17" s="30">
        <v>0</v>
      </c>
      <c r="F17" s="30">
        <v>6100</v>
      </c>
      <c r="G17" s="30">
        <v>403719</v>
      </c>
    </row>
    <row r="18" spans="1:11" ht="13.5" customHeight="1">
      <c r="A18" s="267"/>
      <c r="B18" s="29" t="s">
        <v>51</v>
      </c>
      <c r="C18" s="30">
        <v>571015</v>
      </c>
      <c r="D18" s="30">
        <v>1324964</v>
      </c>
      <c r="E18" s="30">
        <v>1109001.97</v>
      </c>
      <c r="F18" s="30">
        <v>93759</v>
      </c>
      <c r="G18" s="30">
        <v>738196</v>
      </c>
    </row>
    <row r="19" spans="1:11" ht="13.5" customHeight="1">
      <c r="A19" s="267"/>
      <c r="B19" s="29" t="s">
        <v>52</v>
      </c>
      <c r="C19" s="30">
        <v>1402905</v>
      </c>
      <c r="D19" s="30">
        <v>2061942</v>
      </c>
      <c r="E19" s="30">
        <v>1372662.42</v>
      </c>
      <c r="F19" s="30">
        <v>80231</v>
      </c>
      <c r="G19" s="30">
        <v>1163306</v>
      </c>
    </row>
    <row r="20" spans="1:11" ht="13.5" customHeight="1">
      <c r="A20" s="267"/>
      <c r="B20" s="29" t="s">
        <v>53</v>
      </c>
      <c r="C20" s="30">
        <v>215644</v>
      </c>
      <c r="D20" s="30">
        <v>59458</v>
      </c>
      <c r="E20" s="30">
        <v>35717.5</v>
      </c>
      <c r="F20" s="30">
        <v>2970</v>
      </c>
      <c r="G20" s="30">
        <v>88394</v>
      </c>
    </row>
    <row r="21" spans="1:11" ht="13.5" customHeight="1">
      <c r="A21" s="267"/>
      <c r="B21" s="29" t="s">
        <v>54</v>
      </c>
      <c r="C21" s="30">
        <v>177095</v>
      </c>
      <c r="D21" s="30">
        <v>0</v>
      </c>
      <c r="E21" s="30">
        <v>17007</v>
      </c>
      <c r="F21" s="30">
        <v>54248</v>
      </c>
      <c r="G21" s="30">
        <v>0</v>
      </c>
    </row>
    <row r="22" spans="1:11" ht="13.5" customHeight="1">
      <c r="A22" s="267"/>
      <c r="B22" s="29" t="s">
        <v>55</v>
      </c>
      <c r="C22" s="31">
        <v>0</v>
      </c>
      <c r="D22" s="31">
        <v>954820</v>
      </c>
      <c r="E22" s="31">
        <v>0</v>
      </c>
      <c r="F22" s="31">
        <v>0</v>
      </c>
      <c r="G22" s="31">
        <v>1095401</v>
      </c>
    </row>
    <row r="23" spans="1:11" ht="13.5" customHeight="1">
      <c r="A23" s="267"/>
      <c r="B23" s="29" t="s">
        <v>56</v>
      </c>
      <c r="C23" s="30">
        <v>0</v>
      </c>
      <c r="D23" s="30">
        <v>420419</v>
      </c>
      <c r="E23" s="30">
        <v>1111484.22</v>
      </c>
      <c r="F23" s="30">
        <v>1446074</v>
      </c>
      <c r="G23" s="30">
        <v>392142</v>
      </c>
    </row>
    <row r="24" spans="1:11" ht="13.5" customHeight="1">
      <c r="A24" s="267"/>
      <c r="B24" s="29" t="s">
        <v>57</v>
      </c>
      <c r="C24" s="30">
        <v>6517756</v>
      </c>
      <c r="D24" s="30">
        <v>0</v>
      </c>
      <c r="E24" s="30">
        <v>28180</v>
      </c>
      <c r="F24" s="30">
        <v>0</v>
      </c>
      <c r="G24" s="30">
        <v>189549</v>
      </c>
    </row>
    <row r="25" spans="1:11" ht="13.5" customHeight="1">
      <c r="A25" s="267"/>
      <c r="B25" s="29" t="s">
        <v>58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</row>
    <row r="26" spans="1:11" ht="13.5" customHeight="1">
      <c r="A26" s="267"/>
      <c r="B26" s="29" t="s">
        <v>59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</row>
    <row r="27" spans="1:11" ht="13.5" customHeight="1">
      <c r="A27" s="267"/>
      <c r="B27" s="29" t="s">
        <v>60</v>
      </c>
      <c r="C27" s="30">
        <v>1033411</v>
      </c>
      <c r="D27" s="30">
        <v>3426172</v>
      </c>
      <c r="E27" s="30">
        <v>822253.83</v>
      </c>
      <c r="F27" s="30">
        <v>24423</v>
      </c>
      <c r="G27" s="30">
        <v>471812</v>
      </c>
      <c r="I27" s="124"/>
    </row>
    <row r="28" spans="1:11" ht="13.5" customHeight="1">
      <c r="A28" s="267"/>
      <c r="B28" s="29" t="s">
        <v>148</v>
      </c>
      <c r="C28" s="30">
        <v>0</v>
      </c>
      <c r="D28" s="30">
        <v>0</v>
      </c>
      <c r="E28" s="30">
        <v>109224.6</v>
      </c>
      <c r="F28" s="30">
        <v>0</v>
      </c>
      <c r="G28" s="30">
        <v>0</v>
      </c>
    </row>
    <row r="29" spans="1:11" ht="13.5" customHeight="1">
      <c r="A29" s="267"/>
      <c r="B29" s="29" t="s">
        <v>62</v>
      </c>
      <c r="C29" s="30">
        <v>933653</v>
      </c>
      <c r="D29" s="30">
        <v>1678387</v>
      </c>
      <c r="E29" s="30">
        <v>1181826.27</v>
      </c>
      <c r="F29" s="30">
        <v>6614446</v>
      </c>
      <c r="G29" s="30">
        <v>4924567</v>
      </c>
      <c r="I29" s="95">
        <f>SUM(C29:E29)</f>
        <v>3793866.27</v>
      </c>
    </row>
    <row r="30" spans="1:11" ht="13.5" customHeight="1">
      <c r="A30" s="267"/>
      <c r="B30" s="29" t="s">
        <v>63</v>
      </c>
      <c r="C30" s="19">
        <v>2506</v>
      </c>
      <c r="D30" s="19">
        <v>1053</v>
      </c>
      <c r="E30" s="19">
        <v>34117.97</v>
      </c>
      <c r="F30" s="30">
        <v>0</v>
      </c>
      <c r="G30" s="30">
        <v>157258</v>
      </c>
      <c r="I30" s="95">
        <f>SUM(C30:E30)</f>
        <v>37676.97</v>
      </c>
    </row>
    <row r="31" spans="1:11" ht="13.5" customHeight="1">
      <c r="A31" s="267"/>
      <c r="B31" s="29" t="s">
        <v>64</v>
      </c>
      <c r="C31" s="31">
        <v>86594</v>
      </c>
      <c r="D31" s="31">
        <v>18189</v>
      </c>
      <c r="E31" s="31">
        <v>121197.36</v>
      </c>
      <c r="F31" s="31">
        <v>0</v>
      </c>
      <c r="G31" s="31">
        <v>101156</v>
      </c>
      <c r="I31" s="95">
        <f>SUM(C31:E31)</f>
        <v>225980.36</v>
      </c>
      <c r="J31" s="125">
        <f>+I31+I30+I9</f>
        <v>263657.32999999996</v>
      </c>
      <c r="K31" s="10" t="s">
        <v>65</v>
      </c>
    </row>
    <row r="32" spans="1:11" s="22" customFormat="1" ht="13.5" customHeight="1" thickBot="1">
      <c r="A32" s="263" t="s">
        <v>66</v>
      </c>
      <c r="B32" s="32"/>
      <c r="C32" s="33">
        <f>SUM(C16:C31)</f>
        <v>13409136</v>
      </c>
      <c r="D32" s="33">
        <f>SUM(D16:D31)</f>
        <v>13006550</v>
      </c>
      <c r="E32" s="33">
        <f>SUM(E16:E31)</f>
        <v>7925160.1399999987</v>
      </c>
      <c r="F32" s="33">
        <f>SUM(F16:F31)</f>
        <v>8343648</v>
      </c>
      <c r="G32" s="33">
        <f>SUM(G16:G31)</f>
        <v>11825945</v>
      </c>
      <c r="H32" s="80">
        <f>AVERAGE(C32:G32)</f>
        <v>10902087.828</v>
      </c>
      <c r="I32" s="80">
        <f>SUM(C32:E32)+SUM(C12:E14)</f>
        <v>34853721.140000001</v>
      </c>
    </row>
    <row r="33" spans="1:9" ht="13.5" customHeight="1">
      <c r="A33" s="266" t="s">
        <v>68</v>
      </c>
      <c r="B33" s="25"/>
      <c r="C33" s="27"/>
      <c r="D33" s="27"/>
      <c r="E33" s="27"/>
      <c r="F33" s="27"/>
      <c r="G33" s="27"/>
    </row>
    <row r="34" spans="1:9" ht="13.5" customHeight="1">
      <c r="A34" s="267"/>
      <c r="B34" s="29" t="s">
        <v>69</v>
      </c>
      <c r="C34" s="30">
        <v>1149838</v>
      </c>
      <c r="D34" s="30">
        <v>1961639</v>
      </c>
      <c r="E34" s="30">
        <v>1296970.3700000001</v>
      </c>
      <c r="F34" s="30">
        <v>1136070</v>
      </c>
      <c r="G34" s="30">
        <v>1582117</v>
      </c>
      <c r="I34" s="95">
        <f>SUM(C34:E34)</f>
        <v>4408447.37</v>
      </c>
    </row>
    <row r="35" spans="1:9" ht="13.5" customHeight="1">
      <c r="A35" s="267"/>
      <c r="B35" s="29" t="s">
        <v>70</v>
      </c>
      <c r="C35" s="30">
        <v>2245486</v>
      </c>
      <c r="D35" s="30">
        <v>2664763</v>
      </c>
      <c r="E35" s="30">
        <v>1716427.08</v>
      </c>
      <c r="F35" s="30">
        <v>1285928</v>
      </c>
      <c r="G35" s="30">
        <v>2459750</v>
      </c>
      <c r="I35" s="95">
        <f>SUM(C35:E35)</f>
        <v>6626676.0800000001</v>
      </c>
    </row>
    <row r="36" spans="1:9" ht="13.5" customHeight="1">
      <c r="A36" s="267"/>
      <c r="B36" s="29" t="s">
        <v>71</v>
      </c>
      <c r="C36" s="30">
        <v>534515</v>
      </c>
      <c r="D36" s="30">
        <v>612448</v>
      </c>
      <c r="E36" s="30">
        <v>307519.51</v>
      </c>
      <c r="F36" s="30">
        <v>36147</v>
      </c>
      <c r="G36" s="30">
        <v>334124</v>
      </c>
    </row>
    <row r="37" spans="1:9" ht="13.5" customHeight="1">
      <c r="A37" s="267"/>
      <c r="B37" s="29" t="s">
        <v>72</v>
      </c>
      <c r="C37" s="30">
        <v>893767</v>
      </c>
      <c r="D37" s="30">
        <v>1769444</v>
      </c>
      <c r="E37" s="30">
        <v>949836.51</v>
      </c>
      <c r="F37" s="30">
        <v>8940</v>
      </c>
      <c r="G37" s="30">
        <v>473319</v>
      </c>
    </row>
    <row r="38" spans="1:9" ht="13.5" customHeight="1">
      <c r="A38" s="267"/>
      <c r="B38" s="29" t="s">
        <v>60</v>
      </c>
      <c r="C38" s="30">
        <v>552691</v>
      </c>
      <c r="D38" s="30">
        <v>451622</v>
      </c>
      <c r="E38" s="30">
        <v>885975.05</v>
      </c>
      <c r="F38" s="30">
        <v>288901</v>
      </c>
      <c r="G38" s="30">
        <v>73963</v>
      </c>
    </row>
    <row r="39" spans="1:9" ht="13.5" customHeight="1">
      <c r="A39" s="267"/>
      <c r="B39" s="29" t="s">
        <v>73</v>
      </c>
      <c r="C39" s="30">
        <v>0</v>
      </c>
      <c r="D39" s="30">
        <v>0</v>
      </c>
      <c r="E39" s="30">
        <v>107764.23</v>
      </c>
      <c r="F39" s="30">
        <v>0</v>
      </c>
      <c r="G39" s="30">
        <v>47985</v>
      </c>
    </row>
    <row r="40" spans="1:9" ht="13.5" customHeight="1">
      <c r="A40" s="267"/>
      <c r="B40" s="29" t="s">
        <v>74</v>
      </c>
      <c r="C40" s="30">
        <v>93605</v>
      </c>
      <c r="D40" s="30">
        <v>180568</v>
      </c>
      <c r="E40" s="30">
        <v>159393.74</v>
      </c>
      <c r="F40" s="30">
        <v>0</v>
      </c>
      <c r="G40" s="30">
        <v>263202</v>
      </c>
    </row>
    <row r="41" spans="1:9" ht="13.5" customHeight="1">
      <c r="A41" s="267"/>
      <c r="B41" s="29" t="s">
        <v>53</v>
      </c>
      <c r="C41" s="30">
        <v>294141</v>
      </c>
      <c r="D41" s="30">
        <v>544221</v>
      </c>
      <c r="E41" s="30">
        <v>336727.17</v>
      </c>
      <c r="F41" s="30">
        <v>23538</v>
      </c>
      <c r="G41" s="30">
        <v>760158</v>
      </c>
    </row>
    <row r="42" spans="1:9" ht="13.5" customHeight="1">
      <c r="A42" s="267"/>
      <c r="B42" s="29" t="s">
        <v>54</v>
      </c>
      <c r="C42" s="30">
        <v>231082</v>
      </c>
      <c r="D42" s="30">
        <v>0</v>
      </c>
      <c r="E42" s="30">
        <v>29422.02</v>
      </c>
      <c r="F42" s="30">
        <v>0</v>
      </c>
      <c r="G42" s="30">
        <v>0</v>
      </c>
    </row>
    <row r="43" spans="1:9" ht="13.5" customHeight="1">
      <c r="A43" s="267"/>
      <c r="B43" s="29" t="s">
        <v>55</v>
      </c>
      <c r="C43" s="30">
        <v>0</v>
      </c>
      <c r="D43" s="30">
        <v>1129199</v>
      </c>
      <c r="E43" s="30">
        <v>0</v>
      </c>
      <c r="F43" s="30">
        <v>0</v>
      </c>
      <c r="G43" s="30">
        <v>898255</v>
      </c>
    </row>
    <row r="44" spans="1:9" ht="13.5" customHeight="1">
      <c r="A44" s="267"/>
      <c r="B44" s="29" t="s">
        <v>56</v>
      </c>
      <c r="C44" s="30">
        <v>0</v>
      </c>
      <c r="D44" s="30">
        <v>395841</v>
      </c>
      <c r="E44" s="30">
        <v>703399.28</v>
      </c>
      <c r="F44" s="30">
        <v>1637491</v>
      </c>
      <c r="G44" s="30">
        <v>402429</v>
      </c>
    </row>
    <row r="45" spans="1:9" ht="13.5" customHeight="1">
      <c r="A45" s="267"/>
      <c r="B45" s="29" t="s">
        <v>75</v>
      </c>
      <c r="C45" s="30">
        <v>7245919</v>
      </c>
      <c r="D45" s="30">
        <v>2192071</v>
      </c>
      <c r="E45" s="30">
        <v>1395055.05</v>
      </c>
      <c r="F45" s="30">
        <v>283840</v>
      </c>
      <c r="G45" s="30">
        <v>631075</v>
      </c>
    </row>
    <row r="46" spans="1:9" ht="13.5" customHeight="1">
      <c r="A46" s="267"/>
      <c r="B46" s="29" t="s">
        <v>58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</row>
    <row r="47" spans="1:9" ht="13.5" customHeight="1">
      <c r="A47" s="267"/>
      <c r="B47" s="29" t="s">
        <v>76</v>
      </c>
      <c r="C47" s="30">
        <v>0</v>
      </c>
      <c r="D47" s="30">
        <v>256603</v>
      </c>
      <c r="E47" s="30">
        <v>0</v>
      </c>
      <c r="F47" s="30">
        <v>3586623</v>
      </c>
      <c r="G47" s="30">
        <v>1942537</v>
      </c>
    </row>
    <row r="48" spans="1:9" ht="13.5" customHeight="1">
      <c r="A48" s="267"/>
      <c r="B48" s="29" t="s">
        <v>77</v>
      </c>
      <c r="C48" s="30">
        <v>275416</v>
      </c>
      <c r="D48" s="30">
        <v>8755</v>
      </c>
      <c r="E48" s="30">
        <v>12748.52</v>
      </c>
      <c r="F48" s="30">
        <v>0</v>
      </c>
      <c r="G48" s="30">
        <v>0</v>
      </c>
    </row>
    <row r="49" spans="1:9" ht="13.5" customHeight="1">
      <c r="A49" s="267"/>
      <c r="B49" s="29" t="s">
        <v>78</v>
      </c>
      <c r="C49" s="30">
        <v>-15314</v>
      </c>
      <c r="D49" s="30">
        <v>-85180</v>
      </c>
      <c r="E49" s="30">
        <v>29767.66</v>
      </c>
      <c r="F49" s="30">
        <v>0</v>
      </c>
      <c r="G49" s="30">
        <v>0</v>
      </c>
    </row>
    <row r="50" spans="1:9" ht="13.5" customHeight="1">
      <c r="A50" s="267"/>
      <c r="B50" s="29" t="s">
        <v>79</v>
      </c>
      <c r="C50" s="30">
        <v>3591</v>
      </c>
      <c r="D50" s="30">
        <v>474</v>
      </c>
      <c r="E50" s="30">
        <v>-3796.03</v>
      </c>
      <c r="F50" s="30">
        <v>0</v>
      </c>
      <c r="G50" s="30">
        <v>0</v>
      </c>
    </row>
    <row r="51" spans="1:9" ht="13.5" customHeight="1">
      <c r="A51" s="267"/>
      <c r="B51" s="29" t="s">
        <v>80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</row>
    <row r="52" spans="1:9" s="22" customFormat="1" ht="13.5" customHeight="1" thickBot="1">
      <c r="A52" s="263" t="s">
        <v>81</v>
      </c>
      <c r="B52" s="32"/>
      <c r="C52" s="33">
        <f>SUM(C34:C51)</f>
        <v>13504737</v>
      </c>
      <c r="D52" s="33">
        <f>SUM(D34:D51)</f>
        <v>12082468</v>
      </c>
      <c r="E52" s="33">
        <f>SUM(E34:E51)</f>
        <v>7927210.1599999992</v>
      </c>
      <c r="F52" s="33">
        <f>SUM(F34:F51)</f>
        <v>8287478</v>
      </c>
      <c r="G52" s="33">
        <f>SUM(G34:G51)</f>
        <v>9868914</v>
      </c>
      <c r="H52" s="80">
        <f>AVERAGE(C52:G52)</f>
        <v>10334161.432</v>
      </c>
      <c r="I52" s="80">
        <f>SUM(C52:E52)+SUM(C54:E54)</f>
        <v>35258487.460000001</v>
      </c>
    </row>
    <row r="53" spans="1:9" ht="13.5" customHeight="1">
      <c r="A53" s="274" t="s">
        <v>82</v>
      </c>
      <c r="B53" s="76"/>
      <c r="C53" s="77"/>
      <c r="D53" s="77"/>
      <c r="E53" s="77"/>
      <c r="F53" s="77"/>
      <c r="G53" s="77"/>
      <c r="H53" s="95"/>
    </row>
    <row r="54" spans="1:9" s="22" customFormat="1" ht="13.5" customHeight="1">
      <c r="A54" s="264"/>
      <c r="B54" s="23" t="s">
        <v>83</v>
      </c>
      <c r="C54" s="24">
        <v>654719</v>
      </c>
      <c r="D54" s="24">
        <v>638962</v>
      </c>
      <c r="E54" s="24">
        <v>450391.3</v>
      </c>
      <c r="F54" s="24">
        <v>848799</v>
      </c>
      <c r="G54" s="24">
        <v>710291</v>
      </c>
      <c r="H54" s="80"/>
      <c r="I54" s="95">
        <f>SUM(C54:E54)</f>
        <v>1744072.3</v>
      </c>
    </row>
    <row r="55" spans="1:9" s="22" customFormat="1" ht="13.5" customHeight="1">
      <c r="A55" s="268"/>
      <c r="B55" s="36" t="s">
        <v>201</v>
      </c>
      <c r="C55" s="24">
        <v>219037</v>
      </c>
      <c r="D55" s="24">
        <v>-178959</v>
      </c>
      <c r="E55" s="42">
        <v>646590.67000000004</v>
      </c>
      <c r="F55" s="42">
        <v>144298</v>
      </c>
      <c r="G55" s="24">
        <f>-204503</f>
        <v>-204503</v>
      </c>
      <c r="H55" s="80"/>
      <c r="I55" s="95">
        <f>SUM(C55:E55)</f>
        <v>686668.67</v>
      </c>
    </row>
    <row r="56" spans="1:9" s="22" customFormat="1" ht="13.5" customHeight="1">
      <c r="A56" s="268"/>
      <c r="B56" s="36" t="s">
        <v>229</v>
      </c>
      <c r="C56" s="24">
        <v>0</v>
      </c>
      <c r="D56" s="24">
        <v>0</v>
      </c>
      <c r="E56" s="42">
        <v>0</v>
      </c>
      <c r="F56" s="42">
        <v>0</v>
      </c>
      <c r="G56" s="24">
        <v>-129035</v>
      </c>
      <c r="H56" s="80"/>
      <c r="I56" s="95">
        <f>SUM(C56:G56)</f>
        <v>-129035</v>
      </c>
    </row>
    <row r="57" spans="1:9" s="22" customFormat="1" ht="13.5" customHeight="1">
      <c r="A57" s="241" t="s">
        <v>230</v>
      </c>
      <c r="B57" s="36"/>
      <c r="C57" s="24">
        <f>+C32-C52</f>
        <v>-95601</v>
      </c>
      <c r="D57" s="24">
        <f t="shared" ref="D57:G57" si="0">+D32-D52</f>
        <v>924082</v>
      </c>
      <c r="E57" s="24">
        <f t="shared" si="0"/>
        <v>-2050.0200000004843</v>
      </c>
      <c r="F57" s="24">
        <f t="shared" si="0"/>
        <v>56170</v>
      </c>
      <c r="G57" s="24">
        <f t="shared" si="0"/>
        <v>1957031</v>
      </c>
      <c r="H57" s="80">
        <f t="shared" ref="H57:H62" si="1">AVERAGE(C57:G57)</f>
        <v>567926.39599999995</v>
      </c>
      <c r="I57" s="80"/>
    </row>
    <row r="58" spans="1:9" s="22" customFormat="1" ht="13.5" customHeight="1">
      <c r="A58" s="241" t="s">
        <v>239</v>
      </c>
      <c r="B58" s="36"/>
      <c r="C58" s="24">
        <f>+C32-C52-C54</f>
        <v>-750320</v>
      </c>
      <c r="D58" s="24">
        <f t="shared" ref="D58:G58" si="2">+D32-D52-D54</f>
        <v>285120</v>
      </c>
      <c r="E58" s="24">
        <f t="shared" si="2"/>
        <v>-452441.32000000047</v>
      </c>
      <c r="F58" s="24">
        <f t="shared" si="2"/>
        <v>-792629</v>
      </c>
      <c r="G58" s="24">
        <f t="shared" si="2"/>
        <v>1246740</v>
      </c>
      <c r="H58" s="80">
        <f t="shared" si="1"/>
        <v>-92706.0640000001</v>
      </c>
      <c r="I58" s="80"/>
    </row>
    <row r="59" spans="1:9" s="22" customFormat="1" ht="13.5" customHeight="1">
      <c r="A59" s="241" t="s">
        <v>231</v>
      </c>
      <c r="B59" s="36"/>
      <c r="C59" s="24">
        <f>+C32-C52-SUM(C54:C56)</f>
        <v>-969357</v>
      </c>
      <c r="D59" s="24">
        <f t="shared" ref="D59:G59" si="3">+D32-D52-SUM(D54:D56)</f>
        <v>464079</v>
      </c>
      <c r="E59" s="24">
        <f t="shared" si="3"/>
        <v>-1099031.9900000005</v>
      </c>
      <c r="F59" s="24">
        <f t="shared" si="3"/>
        <v>-936927</v>
      </c>
      <c r="G59" s="24">
        <f t="shared" si="3"/>
        <v>1580278</v>
      </c>
      <c r="H59" s="80">
        <f t="shared" si="1"/>
        <v>-192191.79800000004</v>
      </c>
      <c r="I59" s="80"/>
    </row>
    <row r="60" spans="1:9" s="22" customFormat="1" ht="13.5" customHeight="1">
      <c r="A60" s="241" t="s">
        <v>232</v>
      </c>
      <c r="B60" s="36"/>
      <c r="C60" s="24">
        <f>+C32+SUM(C12:C14)-C52</f>
        <v>-95601</v>
      </c>
      <c r="D60" s="24">
        <f t="shared" ref="D60:G60" si="4">+D32+SUM(D12:D14)-D52</f>
        <v>924082</v>
      </c>
      <c r="E60" s="24">
        <f t="shared" si="4"/>
        <v>510824.97999999952</v>
      </c>
      <c r="F60" s="24">
        <f t="shared" si="4"/>
        <v>207191</v>
      </c>
      <c r="G60" s="24">
        <f t="shared" si="4"/>
        <v>1957031</v>
      </c>
      <c r="H60" s="80">
        <f t="shared" si="1"/>
        <v>700705.5959999999</v>
      </c>
      <c r="I60" s="80"/>
    </row>
    <row r="61" spans="1:9" s="22" customFormat="1" ht="13.5" customHeight="1">
      <c r="A61" s="241" t="s">
        <v>240</v>
      </c>
      <c r="B61" s="36"/>
      <c r="C61" s="24">
        <f>+C32+SUM(C12:C14)-C52-C54</f>
        <v>-750320</v>
      </c>
      <c r="D61" s="24">
        <f t="shared" ref="D61:G61" si="5">+D32+SUM(D12:D14)-D52-D54</f>
        <v>285120</v>
      </c>
      <c r="E61" s="24">
        <f t="shared" si="5"/>
        <v>60433.679999999527</v>
      </c>
      <c r="F61" s="24">
        <f t="shared" si="5"/>
        <v>-641608</v>
      </c>
      <c r="G61" s="24">
        <f t="shared" si="5"/>
        <v>1246740</v>
      </c>
      <c r="H61" s="80">
        <f t="shared" si="1"/>
        <v>40073.135999999897</v>
      </c>
      <c r="I61" s="80"/>
    </row>
    <row r="62" spans="1:9" s="22" customFormat="1" ht="13.5" customHeight="1">
      <c r="A62" s="241" t="s">
        <v>233</v>
      </c>
      <c r="B62" s="36"/>
      <c r="C62" s="24">
        <f>+C32+SUM(C12:C14)-C52-SUM(C54:C56)</f>
        <v>-969357</v>
      </c>
      <c r="D62" s="24">
        <f t="shared" ref="D62:G62" si="6">+D32+SUM(D12:D14)-D52-SUM(D54:D56)</f>
        <v>464079</v>
      </c>
      <c r="E62" s="24">
        <f t="shared" si="6"/>
        <v>-586156.99000000046</v>
      </c>
      <c r="F62" s="24">
        <f t="shared" si="6"/>
        <v>-785906</v>
      </c>
      <c r="G62" s="24">
        <f t="shared" si="6"/>
        <v>1580278</v>
      </c>
      <c r="H62" s="80">
        <f t="shared" si="1"/>
        <v>-59412.598000000093</v>
      </c>
      <c r="I62" s="80">
        <f>SUM(C62:E62)</f>
        <v>-1091434.9900000005</v>
      </c>
    </row>
    <row r="63" spans="1:9" ht="13.5" customHeight="1">
      <c r="A63" s="262" t="s">
        <v>228</v>
      </c>
      <c r="B63" s="12"/>
      <c r="C63" s="37"/>
      <c r="D63" s="37"/>
      <c r="E63" s="39"/>
      <c r="F63" s="39"/>
      <c r="G63" s="39"/>
    </row>
    <row r="64" spans="1:9" s="48" customFormat="1" ht="13.5" customHeight="1">
      <c r="A64" s="269"/>
      <c r="B64" s="210" t="s">
        <v>40</v>
      </c>
      <c r="C64" s="17">
        <v>1454736</v>
      </c>
      <c r="D64" s="17">
        <v>1288743</v>
      </c>
      <c r="E64" s="17">
        <v>-720684</v>
      </c>
      <c r="F64" s="17">
        <v>5179722</v>
      </c>
      <c r="G64" s="17">
        <v>3316337</v>
      </c>
      <c r="H64" s="213">
        <f>SUM(C64:G64)/5</f>
        <v>2103770.7999999998</v>
      </c>
      <c r="I64" s="213"/>
    </row>
    <row r="65" spans="1:9" s="48" customFormat="1" ht="13.5" customHeight="1">
      <c r="A65" s="269"/>
      <c r="B65" s="210" t="s">
        <v>234</v>
      </c>
      <c r="C65" s="17">
        <v>-1932999</v>
      </c>
      <c r="D65" s="17">
        <v>-3232242</v>
      </c>
      <c r="E65" s="17">
        <v>-4064287.6000000006</v>
      </c>
      <c r="F65" s="17">
        <v>-600301</v>
      </c>
      <c r="G65" s="17">
        <v>-3009311</v>
      </c>
      <c r="H65" s="213"/>
      <c r="I65" s="213"/>
    </row>
    <row r="66" spans="1:9" s="48" customFormat="1">
      <c r="A66" s="269"/>
      <c r="B66" s="210" t="s">
        <v>41</v>
      </c>
      <c r="C66" s="17">
        <v>0</v>
      </c>
      <c r="D66" s="17">
        <v>0</v>
      </c>
      <c r="E66" s="17">
        <v>0</v>
      </c>
      <c r="F66" s="17">
        <v>0</v>
      </c>
      <c r="G66" s="17">
        <v>23856</v>
      </c>
      <c r="H66" s="213">
        <f>MAX(C64:G64)</f>
        <v>5179722</v>
      </c>
      <c r="I66" s="213"/>
    </row>
    <row r="67" spans="1:9" s="212" customFormat="1" ht="13.5" customHeight="1">
      <c r="A67" s="269"/>
      <c r="B67" s="210" t="s">
        <v>42</v>
      </c>
      <c r="C67" s="17">
        <v>12187185</v>
      </c>
      <c r="D67" s="17">
        <v>8208744</v>
      </c>
      <c r="E67" s="17">
        <v>4793210.1100000003</v>
      </c>
      <c r="F67" s="17">
        <v>4791229</v>
      </c>
      <c r="G67" s="17">
        <v>8911836</v>
      </c>
      <c r="H67" s="214">
        <f>MIN(C64:G64)</f>
        <v>-720684</v>
      </c>
      <c r="I67" s="217"/>
    </row>
    <row r="68" spans="1:9" s="43" customFormat="1" ht="13.5" customHeight="1">
      <c r="A68" s="241"/>
      <c r="B68" s="41" t="s">
        <v>43</v>
      </c>
      <c r="C68" s="21">
        <f>SUM(C64:C67)</f>
        <v>11708922</v>
      </c>
      <c r="D68" s="21">
        <f>SUM(D64:D67)</f>
        <v>6265245</v>
      </c>
      <c r="E68" s="122">
        <f>SUM(E64:E67)</f>
        <v>8238.5099999997765</v>
      </c>
      <c r="F68" s="122">
        <f>SUM(F64:F67)</f>
        <v>9370650</v>
      </c>
      <c r="G68" s="122">
        <f>SUM(G64:G67)</f>
        <v>9242718</v>
      </c>
      <c r="I68" s="114"/>
    </row>
    <row r="69" spans="1:9" s="202" customFormat="1" ht="13.5" customHeight="1">
      <c r="A69" s="270" t="s">
        <v>84</v>
      </c>
      <c r="B69" s="270"/>
      <c r="C69" s="271">
        <f t="shared" ref="C69" si="7">C64/(C52)</f>
        <v>0.10772042432222116</v>
      </c>
      <c r="D69" s="271">
        <f>D64/(D52)</f>
        <v>0.10666223159043335</v>
      </c>
      <c r="E69" s="280">
        <f>E64/(E52)</f>
        <v>-9.0912690020066286E-2</v>
      </c>
      <c r="F69" s="280">
        <f>F64/(F52)</f>
        <v>0.62500582203657129</v>
      </c>
      <c r="G69" s="280">
        <f>G64/(G52)</f>
        <v>0.33603869686168103</v>
      </c>
      <c r="H69" s="44">
        <f>AVERAGE(C69:G69)</f>
        <v>0.21690289695816811</v>
      </c>
      <c r="I69" s="205"/>
    </row>
    <row r="70" spans="1:9">
      <c r="A70" s="59"/>
      <c r="B70" s="59" t="s">
        <v>85</v>
      </c>
      <c r="C70" s="83">
        <f t="shared" ref="C70:F70" si="8">+C10+C12+C13+C14+C32-C54-C52-C68-C55-C56</f>
        <v>0</v>
      </c>
      <c r="D70" s="83">
        <f t="shared" si="8"/>
        <v>-1</v>
      </c>
      <c r="E70" s="83">
        <f t="shared" si="8"/>
        <v>0.4999999989522621</v>
      </c>
      <c r="F70" s="83">
        <f t="shared" si="8"/>
        <v>0</v>
      </c>
      <c r="G70" s="69">
        <f>+G10+G12+G13+G14+G32-G54-G52-G68-G55-G56</f>
        <v>0</v>
      </c>
      <c r="H70" s="126">
        <f>MAX(C69:G69)</f>
        <v>0.62500582203657129</v>
      </c>
    </row>
    <row r="71" spans="1:9">
      <c r="A71" s="59"/>
      <c r="B71" s="59"/>
      <c r="C71" s="83">
        <f>+C10+C62-C68</f>
        <v>0</v>
      </c>
      <c r="D71" s="83">
        <f>+D10+D62-D68</f>
        <v>-1</v>
      </c>
      <c r="E71" s="83">
        <f>+E10+E62-E68</f>
        <v>0.49999999976716936</v>
      </c>
      <c r="F71" s="83">
        <f>+F10+F62-F68</f>
        <v>0</v>
      </c>
      <c r="G71" s="69">
        <f>+G10+G62-G68</f>
        <v>0</v>
      </c>
      <c r="H71" s="126">
        <f>MIN(C69:G69)</f>
        <v>-9.0912690020066286E-2</v>
      </c>
    </row>
    <row r="72" spans="1:9">
      <c r="A72" s="59"/>
      <c r="B72" s="59"/>
      <c r="C72" s="83"/>
      <c r="D72" s="83"/>
      <c r="E72" s="83"/>
      <c r="F72" s="83"/>
      <c r="G72" s="69"/>
      <c r="H72" s="126"/>
    </row>
    <row r="73" spans="1:9" ht="12.75" customHeight="1">
      <c r="A73" s="180" t="s">
        <v>195</v>
      </c>
      <c r="B73" s="52"/>
      <c r="C73" s="52"/>
      <c r="D73" s="52"/>
      <c r="E73" s="83"/>
      <c r="F73" s="83"/>
      <c r="G73" s="83"/>
      <c r="H73" s="126"/>
    </row>
    <row r="74" spans="1:9" ht="12.75" customHeight="1">
      <c r="A74" s="177" t="s">
        <v>196</v>
      </c>
      <c r="B74" s="52"/>
      <c r="C74" s="52"/>
      <c r="D74" s="52"/>
    </row>
    <row r="75" spans="1:9" ht="12.75" customHeight="1">
      <c r="A75" s="178" t="s">
        <v>86</v>
      </c>
      <c r="B75" s="52"/>
      <c r="C75" s="52"/>
      <c r="D75" s="52"/>
    </row>
    <row r="76" spans="1:9">
      <c r="A76" s="179"/>
      <c r="B76" s="52"/>
      <c r="C76" s="52"/>
      <c r="D76" s="52"/>
    </row>
    <row r="77" spans="1:9" ht="12.75" customHeight="1">
      <c r="A77" s="177" t="s">
        <v>197</v>
      </c>
      <c r="B77" s="52"/>
      <c r="C77" s="52"/>
      <c r="D77" s="52"/>
    </row>
    <row r="78" spans="1:9" ht="12.75" customHeight="1">
      <c r="A78" s="177" t="s">
        <v>87</v>
      </c>
      <c r="B78" s="52"/>
      <c r="C78" s="52"/>
      <c r="D78" s="52"/>
    </row>
    <row r="79" spans="1:9" ht="12.75" customHeight="1">
      <c r="A79" s="177" t="s">
        <v>88</v>
      </c>
      <c r="B79" s="135"/>
      <c r="C79" s="136"/>
      <c r="D79" s="136"/>
    </row>
    <row r="80" spans="1:9">
      <c r="A80" s="137"/>
      <c r="B80" s="137"/>
      <c r="C80" s="137"/>
      <c r="D80" s="137"/>
    </row>
    <row r="81" spans="1:15" ht="12.75" customHeight="1">
      <c r="A81" s="343"/>
      <c r="B81" s="344"/>
      <c r="C81" s="260"/>
      <c r="D81" s="260"/>
      <c r="E81" s="260"/>
      <c r="F81" s="260"/>
      <c r="G81" s="260"/>
    </row>
    <row r="82" spans="1:15" ht="72.75" customHeight="1">
      <c r="A82" s="345"/>
      <c r="B82" s="346"/>
      <c r="C82" s="256" t="str">
        <f>C2</f>
        <v xml:space="preserve">16th DAA, California Mid-State Fair          </v>
      </c>
      <c r="D82" s="256" t="str">
        <f>D2</f>
        <v>21st DAA, 
The Big Fresno Fair</v>
      </c>
      <c r="E82" s="256" t="str">
        <f>E2</f>
        <v>31st DAA, Ventura County Fair</v>
      </c>
      <c r="F82" s="256" t="str">
        <f>F2</f>
        <v>National Orange Show</v>
      </c>
      <c r="G82" s="256" t="str">
        <f>G2</f>
        <v>Sonoma County Fair</v>
      </c>
    </row>
    <row r="83" spans="1:15" ht="13.5" customHeight="1">
      <c r="A83" s="262" t="s">
        <v>89</v>
      </c>
      <c r="B83" s="29"/>
      <c r="C83" s="54"/>
      <c r="D83" s="54"/>
      <c r="E83" s="54"/>
      <c r="F83" s="54"/>
      <c r="G83" s="54"/>
      <c r="J83" s="127"/>
      <c r="K83" s="127"/>
      <c r="L83" s="128"/>
      <c r="M83" s="127"/>
      <c r="N83" s="127"/>
      <c r="O83" s="127"/>
    </row>
    <row r="84" spans="1:15" ht="13.5" customHeight="1">
      <c r="A84" s="262" t="s">
        <v>90</v>
      </c>
      <c r="B84" s="29"/>
      <c r="C84" s="54"/>
      <c r="D84" s="54"/>
      <c r="E84" s="54"/>
      <c r="F84" s="54"/>
      <c r="G84" s="54"/>
    </row>
    <row r="85" spans="1:15" ht="13.5" customHeight="1">
      <c r="A85" s="267"/>
      <c r="B85" s="29" t="s">
        <v>91</v>
      </c>
      <c r="C85" s="30"/>
      <c r="D85" s="30"/>
      <c r="E85" s="30"/>
      <c r="F85" s="30"/>
      <c r="G85" s="30"/>
    </row>
    <row r="86" spans="1:15" ht="13.5" customHeight="1">
      <c r="A86" s="267"/>
      <c r="B86" s="29" t="s">
        <v>92</v>
      </c>
      <c r="C86" s="14">
        <v>0</v>
      </c>
      <c r="D86" s="14">
        <v>0</v>
      </c>
      <c r="E86" s="14">
        <v>0</v>
      </c>
      <c r="F86" s="14">
        <v>0</v>
      </c>
      <c r="G86" s="14">
        <v>120916</v>
      </c>
      <c r="I86" s="56">
        <f t="shared" ref="I86:I96" si="9">SUM(C86:E86)</f>
        <v>0</v>
      </c>
    </row>
    <row r="87" spans="1:15" ht="13.5" customHeight="1">
      <c r="A87" s="267"/>
      <c r="B87" s="29" t="s">
        <v>93</v>
      </c>
      <c r="C87" s="30">
        <v>1836043</v>
      </c>
      <c r="D87" s="30">
        <f>3321820+312998</f>
        <v>3634818</v>
      </c>
      <c r="E87" s="30">
        <v>473204</v>
      </c>
      <c r="F87" s="30">
        <v>3352200</v>
      </c>
      <c r="G87" s="30">
        <v>3854130</v>
      </c>
      <c r="I87" s="56">
        <f t="shared" si="9"/>
        <v>5944065</v>
      </c>
    </row>
    <row r="88" spans="1:15" ht="13.5" customHeight="1">
      <c r="A88" s="267"/>
      <c r="B88" s="29" t="s">
        <v>94</v>
      </c>
      <c r="C88" s="30">
        <v>170305</v>
      </c>
      <c r="D88" s="30">
        <f>365496-53635</f>
        <v>311861</v>
      </c>
      <c r="E88" s="30">
        <v>87683.01</v>
      </c>
      <c r="F88" s="30">
        <v>250193</v>
      </c>
      <c r="G88" s="30">
        <v>809502</v>
      </c>
      <c r="I88" s="56">
        <f t="shared" si="9"/>
        <v>569849.01</v>
      </c>
    </row>
    <row r="89" spans="1:15" ht="13.5" customHeight="1">
      <c r="A89" s="267"/>
      <c r="B89" s="29" t="s">
        <v>95</v>
      </c>
      <c r="C89" s="30">
        <v>37050</v>
      </c>
      <c r="D89" s="30">
        <v>0</v>
      </c>
      <c r="E89" s="30">
        <v>15545.8</v>
      </c>
      <c r="F89" s="30">
        <v>0</v>
      </c>
      <c r="G89" s="30">
        <v>0</v>
      </c>
      <c r="I89" s="56">
        <f t="shared" si="9"/>
        <v>52595.8</v>
      </c>
    </row>
    <row r="90" spans="1:15" ht="13.5" customHeight="1">
      <c r="A90" s="267"/>
      <c r="B90" s="29" t="s">
        <v>96</v>
      </c>
      <c r="C90" s="30">
        <v>0</v>
      </c>
      <c r="D90" s="30">
        <f>44311+1200</f>
        <v>45511</v>
      </c>
      <c r="E90" s="30">
        <v>3058</v>
      </c>
      <c r="F90" s="30">
        <v>1958002</v>
      </c>
      <c r="G90" s="30">
        <v>64917</v>
      </c>
      <c r="I90" s="56">
        <f t="shared" si="9"/>
        <v>48569</v>
      </c>
    </row>
    <row r="91" spans="1:15" ht="13.5" customHeight="1">
      <c r="A91" s="267"/>
      <c r="B91" s="29" t="s">
        <v>97</v>
      </c>
      <c r="C91" s="30">
        <v>103553</v>
      </c>
      <c r="D91" s="30">
        <v>18389</v>
      </c>
      <c r="E91" s="30">
        <v>0</v>
      </c>
      <c r="F91" s="30">
        <v>0</v>
      </c>
      <c r="G91" s="30">
        <v>24213</v>
      </c>
      <c r="I91" s="10">
        <f t="shared" si="9"/>
        <v>121942</v>
      </c>
    </row>
    <row r="92" spans="1:15" ht="13.5" customHeight="1">
      <c r="A92" s="267"/>
      <c r="B92" s="29" t="s">
        <v>98</v>
      </c>
      <c r="C92" s="30">
        <v>723405</v>
      </c>
      <c r="D92" s="30">
        <v>244077</v>
      </c>
      <c r="E92" s="30">
        <v>282915.31</v>
      </c>
      <c r="F92" s="30">
        <v>530755</v>
      </c>
      <c r="G92" s="30">
        <v>1199860</v>
      </c>
      <c r="I92" s="10">
        <f t="shared" si="9"/>
        <v>1250397.31</v>
      </c>
    </row>
    <row r="93" spans="1:15" ht="13.5" customHeight="1">
      <c r="A93" s="267"/>
      <c r="B93" s="29" t="s">
        <v>99</v>
      </c>
      <c r="C93" s="30">
        <v>19836274</v>
      </c>
      <c r="D93" s="30">
        <v>26143919</v>
      </c>
      <c r="E93" s="30">
        <v>17328415.989999998</v>
      </c>
      <c r="F93" s="30">
        <v>23697033</v>
      </c>
      <c r="G93" s="30">
        <v>31779485</v>
      </c>
      <c r="I93" s="10">
        <f t="shared" si="9"/>
        <v>63308608.989999995</v>
      </c>
    </row>
    <row r="94" spans="1:15" ht="13.5" customHeight="1">
      <c r="A94" s="267"/>
      <c r="B94" s="29" t="s">
        <v>100</v>
      </c>
      <c r="C94" s="30">
        <v>1753236</v>
      </c>
      <c r="D94" s="30">
        <v>728882</v>
      </c>
      <c r="E94" s="30">
        <v>828879.12</v>
      </c>
      <c r="F94" s="30">
        <v>3698479</v>
      </c>
      <c r="G94" s="30">
        <v>2686145</v>
      </c>
      <c r="I94" s="10">
        <f t="shared" si="9"/>
        <v>3310997.12</v>
      </c>
    </row>
    <row r="95" spans="1:15" ht="13.5" customHeight="1">
      <c r="A95" s="267"/>
      <c r="B95" s="29" t="s">
        <v>101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I95" s="10">
        <f t="shared" si="9"/>
        <v>0</v>
      </c>
    </row>
    <row r="96" spans="1:15" ht="13.5" customHeight="1">
      <c r="A96" s="267"/>
      <c r="B96" s="29" t="s">
        <v>182</v>
      </c>
      <c r="C96" s="30">
        <v>0</v>
      </c>
      <c r="D96" s="30">
        <v>0</v>
      </c>
      <c r="E96" s="30">
        <v>0</v>
      </c>
      <c r="F96" s="30">
        <v>61126</v>
      </c>
      <c r="G96" s="30">
        <v>0</v>
      </c>
      <c r="I96" s="10">
        <f t="shared" si="9"/>
        <v>0</v>
      </c>
    </row>
    <row r="97" spans="1:9" ht="13.5" customHeight="1">
      <c r="A97" s="267"/>
      <c r="B97" s="29" t="s">
        <v>102</v>
      </c>
      <c r="C97" s="30">
        <f>-8535965-1693318</f>
        <v>-10229283</v>
      </c>
      <c r="D97" s="30">
        <f>-17227146-582890</f>
        <v>-17810036</v>
      </c>
      <c r="E97" s="30">
        <f>-12069853.8-818912</f>
        <v>-12888765.800000001</v>
      </c>
      <c r="F97" s="30">
        <f>-19521096-2916946-34230</f>
        <v>-22472272</v>
      </c>
      <c r="G97" s="30">
        <f>-24522195-2231459</f>
        <v>-26753654</v>
      </c>
      <c r="I97" s="20">
        <f>SUM(C91:E97)</f>
        <v>27063860.620000001</v>
      </c>
    </row>
    <row r="98" spans="1:9" ht="13.5" customHeight="1">
      <c r="A98" s="267"/>
      <c r="B98" s="29" t="s">
        <v>103</v>
      </c>
      <c r="C98" s="30">
        <v>0</v>
      </c>
      <c r="D98" s="30">
        <v>0</v>
      </c>
      <c r="E98" s="30">
        <v>0</v>
      </c>
      <c r="F98" s="30"/>
      <c r="G98" s="30">
        <v>0</v>
      </c>
      <c r="I98" s="10"/>
    </row>
    <row r="99" spans="1:9" s="22" customFormat="1" ht="13.5" customHeight="1">
      <c r="A99" s="250" t="s">
        <v>104</v>
      </c>
      <c r="B99" s="23"/>
      <c r="C99" s="24">
        <f>SUM(C85:C98)</f>
        <v>14230583</v>
      </c>
      <c r="D99" s="24">
        <f t="shared" ref="D99:G99" si="10">SUM(D85:D98)</f>
        <v>13317421</v>
      </c>
      <c r="E99" s="24">
        <f t="shared" si="10"/>
        <v>6130935.4299999997</v>
      </c>
      <c r="F99" s="24">
        <f t="shared" si="10"/>
        <v>11075516</v>
      </c>
      <c r="G99" s="24">
        <f t="shared" si="10"/>
        <v>13785514</v>
      </c>
      <c r="I99" s="197">
        <f>SUM(C99:E99)</f>
        <v>33678939.43</v>
      </c>
    </row>
    <row r="100" spans="1:9" s="22" customFormat="1" ht="13.5" customHeight="1">
      <c r="A100" s="250" t="s">
        <v>205</v>
      </c>
      <c r="B100" s="23"/>
      <c r="C100" s="24">
        <v>793087</v>
      </c>
      <c r="D100" s="24">
        <v>1367619</v>
      </c>
      <c r="E100" s="24">
        <v>1548731.8</v>
      </c>
      <c r="F100" s="24">
        <v>0</v>
      </c>
      <c r="G100" s="24">
        <f>400824+254492</f>
        <v>655316</v>
      </c>
      <c r="I100" s="197">
        <f>SUM(C100:E100)</f>
        <v>3709437.8</v>
      </c>
    </row>
    <row r="101" spans="1:9" s="45" customFormat="1" ht="13.5" customHeight="1">
      <c r="A101" s="272" t="s">
        <v>202</v>
      </c>
      <c r="B101" s="195"/>
      <c r="C101" s="196">
        <f>+C99+C100</f>
        <v>15023670</v>
      </c>
      <c r="D101" s="196">
        <f t="shared" ref="D101:G101" si="11">+D99+D100</f>
        <v>14685040</v>
      </c>
      <c r="E101" s="196">
        <f t="shared" si="11"/>
        <v>7679667.2299999995</v>
      </c>
      <c r="F101" s="196">
        <f t="shared" si="11"/>
        <v>11075516</v>
      </c>
      <c r="G101" s="196">
        <f t="shared" si="11"/>
        <v>14440830</v>
      </c>
      <c r="I101" s="197">
        <f>SUM(C101:E101)</f>
        <v>37388377.229999997</v>
      </c>
    </row>
    <row r="102" spans="1:9" ht="13.5" customHeight="1">
      <c r="A102" s="262" t="s">
        <v>203</v>
      </c>
      <c r="B102" s="29"/>
      <c r="C102" s="53"/>
      <c r="D102" s="53"/>
      <c r="E102" s="54"/>
      <c r="F102" s="54"/>
      <c r="G102" s="54"/>
      <c r="I102" s="10"/>
    </row>
    <row r="103" spans="1:9" ht="13.5" customHeight="1">
      <c r="A103" s="267"/>
      <c r="B103" s="29" t="s">
        <v>105</v>
      </c>
      <c r="C103" s="18">
        <v>1389</v>
      </c>
      <c r="D103" s="18">
        <v>0</v>
      </c>
      <c r="E103" s="18">
        <v>0</v>
      </c>
      <c r="F103" s="18">
        <v>0</v>
      </c>
      <c r="G103" s="30">
        <v>0</v>
      </c>
      <c r="I103" s="56">
        <f t="shared" ref="I103:I124" si="12">SUM(C103:E103)</f>
        <v>1389</v>
      </c>
    </row>
    <row r="104" spans="1:9" ht="13.5" customHeight="1">
      <c r="A104" s="267"/>
      <c r="B104" s="29" t="s">
        <v>106</v>
      </c>
      <c r="C104" s="18">
        <v>126974</v>
      </c>
      <c r="D104" s="18">
        <v>1818036</v>
      </c>
      <c r="E104" s="30">
        <v>379332.52</v>
      </c>
      <c r="F104" s="30">
        <v>102535</v>
      </c>
      <c r="G104" s="30">
        <v>364129</v>
      </c>
      <c r="I104" s="56">
        <f t="shared" si="12"/>
        <v>2324342.52</v>
      </c>
    </row>
    <row r="105" spans="1:9" ht="13.5" customHeight="1">
      <c r="A105" s="267"/>
      <c r="B105" s="29" t="s">
        <v>107</v>
      </c>
      <c r="C105" s="18">
        <v>24661</v>
      </c>
      <c r="D105" s="18">
        <v>99613</v>
      </c>
      <c r="E105" s="30">
        <v>171803.03</v>
      </c>
      <c r="F105" s="30">
        <v>48187</v>
      </c>
      <c r="G105" s="30">
        <v>336669</v>
      </c>
      <c r="I105" s="56">
        <f t="shared" si="12"/>
        <v>296077.03000000003</v>
      </c>
    </row>
    <row r="106" spans="1:9" ht="13.5" customHeight="1">
      <c r="A106" s="267"/>
      <c r="B106" s="29" t="s">
        <v>108</v>
      </c>
      <c r="C106" s="18">
        <v>113652</v>
      </c>
      <c r="D106" s="18">
        <v>180556</v>
      </c>
      <c r="E106" s="30">
        <v>4168.25</v>
      </c>
      <c r="F106" s="30">
        <v>0</v>
      </c>
      <c r="G106" s="30">
        <v>490640</v>
      </c>
      <c r="I106" s="56">
        <f t="shared" si="12"/>
        <v>298376.25</v>
      </c>
    </row>
    <row r="107" spans="1:9" ht="13.5" customHeight="1">
      <c r="A107" s="267"/>
      <c r="B107" s="29" t="s">
        <v>109</v>
      </c>
      <c r="C107" s="18">
        <v>101026</v>
      </c>
      <c r="D107" s="18">
        <v>-6545</v>
      </c>
      <c r="E107" s="30">
        <v>-7593</v>
      </c>
      <c r="F107" s="30">
        <v>15757</v>
      </c>
      <c r="G107" s="30">
        <v>39563</v>
      </c>
      <c r="I107" s="56">
        <f t="shared" si="12"/>
        <v>86888</v>
      </c>
    </row>
    <row r="108" spans="1:9" ht="13.5" customHeight="1">
      <c r="A108" s="267"/>
      <c r="B108" s="29" t="s">
        <v>110</v>
      </c>
      <c r="C108" s="18">
        <v>25702</v>
      </c>
      <c r="D108" s="18">
        <v>26600</v>
      </c>
      <c r="E108" s="30">
        <v>79417.490000000005</v>
      </c>
      <c r="F108" s="30">
        <v>96401</v>
      </c>
      <c r="G108" s="30">
        <v>0</v>
      </c>
      <c r="I108" s="56">
        <f t="shared" si="12"/>
        <v>131719.49</v>
      </c>
    </row>
    <row r="109" spans="1:9" ht="13.5" customHeight="1">
      <c r="A109" s="267"/>
      <c r="B109" s="29" t="s">
        <v>111</v>
      </c>
      <c r="C109" s="18">
        <v>124726</v>
      </c>
      <c r="D109" s="18">
        <v>443603</v>
      </c>
      <c r="E109" s="30">
        <v>240647</v>
      </c>
      <c r="F109" s="30">
        <v>117794</v>
      </c>
      <c r="G109" s="30">
        <v>227377</v>
      </c>
      <c r="I109" s="56">
        <f t="shared" si="12"/>
        <v>808976</v>
      </c>
    </row>
    <row r="110" spans="1:9" ht="13.5" customHeight="1">
      <c r="A110" s="267"/>
      <c r="B110" s="29" t="s">
        <v>112</v>
      </c>
      <c r="C110" s="18">
        <v>0</v>
      </c>
      <c r="D110" s="18">
        <v>1116487</v>
      </c>
      <c r="E110" s="30">
        <v>758234.98</v>
      </c>
      <c r="F110" s="30">
        <v>723891</v>
      </c>
      <c r="G110" s="30">
        <v>0</v>
      </c>
      <c r="I110" s="56">
        <f t="shared" si="12"/>
        <v>1874721.98</v>
      </c>
    </row>
    <row r="111" spans="1:9" ht="13.5" customHeight="1">
      <c r="A111" s="267"/>
      <c r="B111" s="29" t="s">
        <v>208</v>
      </c>
      <c r="C111" s="18">
        <v>2700880</v>
      </c>
      <c r="D111" s="18">
        <v>4557329</v>
      </c>
      <c r="E111" s="30">
        <v>5561119.6699999999</v>
      </c>
      <c r="F111" s="30">
        <v>600301</v>
      </c>
      <c r="G111" s="19">
        <f>778377</f>
        <v>778377</v>
      </c>
      <c r="I111" s="56">
        <f t="shared" si="12"/>
        <v>12819328.67</v>
      </c>
    </row>
    <row r="112" spans="1:9" ht="13.5" customHeight="1">
      <c r="A112" s="267"/>
      <c r="B112" s="29" t="s">
        <v>238</v>
      </c>
      <c r="C112" s="18"/>
      <c r="D112" s="18"/>
      <c r="E112" s="30"/>
      <c r="F112" s="30"/>
      <c r="G112" s="19">
        <v>1967830</v>
      </c>
      <c r="I112" s="56">
        <f t="shared" si="12"/>
        <v>0</v>
      </c>
    </row>
    <row r="113" spans="1:9" s="22" customFormat="1" ht="13.5" customHeight="1">
      <c r="A113" s="250" t="s">
        <v>207</v>
      </c>
      <c r="B113" s="23"/>
      <c r="C113" s="24">
        <f>SUM(C103:C112)</f>
        <v>3219010</v>
      </c>
      <c r="D113" s="24">
        <f t="shared" ref="D113:F113" si="13">SUM(D103:D112)</f>
        <v>8235679</v>
      </c>
      <c r="E113" s="24">
        <f t="shared" si="13"/>
        <v>7187129.9399999995</v>
      </c>
      <c r="F113" s="24">
        <f t="shared" si="13"/>
        <v>1704866</v>
      </c>
      <c r="G113" s="24">
        <f>SUM(G103:G112)</f>
        <v>4204585</v>
      </c>
      <c r="I113" s="197">
        <f>SUM(C113:E113)</f>
        <v>18641818.939999998</v>
      </c>
    </row>
    <row r="114" spans="1:9" s="22" customFormat="1" ht="13.5" customHeight="1">
      <c r="A114" s="250" t="s">
        <v>206</v>
      </c>
      <c r="B114" s="23"/>
      <c r="C114" s="24">
        <v>25206</v>
      </c>
      <c r="D114" s="24">
        <v>42532</v>
      </c>
      <c r="E114" s="24">
        <v>51899.73</v>
      </c>
      <c r="F114" s="24">
        <v>0</v>
      </c>
      <c r="G114" s="24">
        <f>701757+216663</f>
        <v>918420</v>
      </c>
      <c r="I114" s="197">
        <f>SUM(C114:E114)</f>
        <v>119637.73000000001</v>
      </c>
    </row>
    <row r="115" spans="1:9" s="45" customFormat="1" ht="13.5" customHeight="1">
      <c r="A115" s="272" t="s">
        <v>204</v>
      </c>
      <c r="B115" s="195"/>
      <c r="C115" s="196">
        <f>+C113+C114</f>
        <v>3244216</v>
      </c>
      <c r="D115" s="196">
        <f t="shared" ref="D115:G115" si="14">+D113+D114</f>
        <v>8278211</v>
      </c>
      <c r="E115" s="196">
        <f t="shared" si="14"/>
        <v>7239029.6699999999</v>
      </c>
      <c r="F115" s="196">
        <f t="shared" si="14"/>
        <v>1704866</v>
      </c>
      <c r="G115" s="196">
        <f t="shared" si="14"/>
        <v>5123005</v>
      </c>
      <c r="I115" s="197">
        <f t="shared" si="12"/>
        <v>18761456.670000002</v>
      </c>
    </row>
    <row r="116" spans="1:9" ht="13.5" customHeight="1">
      <c r="A116" s="262" t="s">
        <v>113</v>
      </c>
      <c r="B116" s="29"/>
      <c r="C116" s="54"/>
      <c r="D116" s="54"/>
      <c r="E116" s="54"/>
      <c r="F116" s="54"/>
      <c r="G116" s="54"/>
      <c r="I116" s="56">
        <f t="shared" si="12"/>
        <v>0</v>
      </c>
    </row>
    <row r="117" spans="1:9" ht="13.5" customHeight="1">
      <c r="A117" s="267"/>
      <c r="B117" s="29" t="s">
        <v>114</v>
      </c>
      <c r="C117" s="30">
        <v>70533</v>
      </c>
      <c r="D117" s="30">
        <v>141585</v>
      </c>
      <c r="E117" s="30">
        <v>432399</v>
      </c>
      <c r="F117" s="30">
        <v>0</v>
      </c>
      <c r="G117" s="18">
        <v>75107</v>
      </c>
      <c r="I117" s="56">
        <f t="shared" si="12"/>
        <v>644517</v>
      </c>
    </row>
    <row r="118" spans="1:9" ht="13.5" customHeight="1">
      <c r="A118" s="267"/>
      <c r="B118" s="29" t="s">
        <v>40</v>
      </c>
      <c r="C118" s="30">
        <f>C64</f>
        <v>1454736</v>
      </c>
      <c r="D118" s="30">
        <f t="shared" ref="D118:G118" si="15">D64</f>
        <v>1288743</v>
      </c>
      <c r="E118" s="30">
        <f t="shared" si="15"/>
        <v>-720684</v>
      </c>
      <c r="F118" s="30">
        <f t="shared" si="15"/>
        <v>5179722</v>
      </c>
      <c r="G118" s="30">
        <f t="shared" si="15"/>
        <v>3316337</v>
      </c>
      <c r="I118" s="56">
        <f t="shared" si="12"/>
        <v>2022795</v>
      </c>
    </row>
    <row r="119" spans="1:9" ht="13.5" customHeight="1">
      <c r="A119" s="267"/>
      <c r="B119" s="29" t="s">
        <v>234</v>
      </c>
      <c r="C119" s="30">
        <f t="shared" ref="C119:G119" si="16">C65</f>
        <v>-1932999</v>
      </c>
      <c r="D119" s="30">
        <f t="shared" si="16"/>
        <v>-3232242</v>
      </c>
      <c r="E119" s="30">
        <f t="shared" si="16"/>
        <v>-4064287.6000000006</v>
      </c>
      <c r="F119" s="30">
        <f t="shared" si="16"/>
        <v>-600301</v>
      </c>
      <c r="G119" s="30">
        <f t="shared" si="16"/>
        <v>-3009311</v>
      </c>
      <c r="I119" s="56">
        <f t="shared" si="12"/>
        <v>-9229528.6000000015</v>
      </c>
    </row>
    <row r="120" spans="1:9" ht="13.5" customHeight="1">
      <c r="A120" s="267"/>
      <c r="B120" s="29" t="s">
        <v>41</v>
      </c>
      <c r="C120" s="30">
        <f t="shared" ref="C120:G120" si="17">C66</f>
        <v>0</v>
      </c>
      <c r="D120" s="30">
        <f t="shared" si="17"/>
        <v>0</v>
      </c>
      <c r="E120" s="30">
        <f t="shared" si="17"/>
        <v>0</v>
      </c>
      <c r="F120" s="30">
        <f t="shared" si="17"/>
        <v>0</v>
      </c>
      <c r="G120" s="30">
        <f t="shared" si="17"/>
        <v>23856</v>
      </c>
      <c r="I120" s="56">
        <f t="shared" si="12"/>
        <v>0</v>
      </c>
    </row>
    <row r="121" spans="1:9" ht="13.5" customHeight="1">
      <c r="A121" s="267"/>
      <c r="B121" s="29" t="s">
        <v>115</v>
      </c>
      <c r="C121" s="30">
        <f t="shared" ref="C121:G121" si="18">C67</f>
        <v>12187185</v>
      </c>
      <c r="D121" s="30">
        <f t="shared" si="18"/>
        <v>8208744</v>
      </c>
      <c r="E121" s="30">
        <f t="shared" si="18"/>
        <v>4793210.1100000003</v>
      </c>
      <c r="F121" s="30">
        <f t="shared" si="18"/>
        <v>4791229</v>
      </c>
      <c r="G121" s="30">
        <f t="shared" si="18"/>
        <v>8911836</v>
      </c>
      <c r="I121" s="56">
        <f t="shared" si="12"/>
        <v>25189139.109999999</v>
      </c>
    </row>
    <row r="122" spans="1:9" ht="13.5" customHeight="1">
      <c r="A122" s="273"/>
      <c r="B122" s="60" t="s">
        <v>103</v>
      </c>
      <c r="C122" s="62">
        <v>0</v>
      </c>
      <c r="D122" s="62">
        <v>0</v>
      </c>
      <c r="E122" s="62">
        <v>0</v>
      </c>
      <c r="F122" s="62">
        <v>0</v>
      </c>
      <c r="G122" s="62">
        <v>0</v>
      </c>
      <c r="I122" s="56">
        <f t="shared" si="12"/>
        <v>0</v>
      </c>
    </row>
    <row r="123" spans="1:9" s="22" customFormat="1" ht="13.5" customHeight="1">
      <c r="A123" s="250" t="s">
        <v>43</v>
      </c>
      <c r="B123" s="64"/>
      <c r="C123" s="65">
        <f>SUM(C117:C122)</f>
        <v>11779455</v>
      </c>
      <c r="D123" s="65">
        <f>SUM(D117:D122)</f>
        <v>6406830</v>
      </c>
      <c r="E123" s="65">
        <f>SUM(E117:E122)</f>
        <v>440637.50999999978</v>
      </c>
      <c r="F123" s="65">
        <f>SUM(F117:F122)</f>
        <v>9370650</v>
      </c>
      <c r="G123" s="65">
        <f>SUM(G117:G122)</f>
        <v>9317825</v>
      </c>
      <c r="I123" s="58">
        <f t="shared" si="12"/>
        <v>18626922.509999998</v>
      </c>
    </row>
    <row r="124" spans="1:9" s="45" customFormat="1" ht="13.5" customHeight="1">
      <c r="A124" s="272" t="s">
        <v>209</v>
      </c>
      <c r="B124" s="195"/>
      <c r="C124" s="196">
        <f>SUM(C115:C122)</f>
        <v>15023671</v>
      </c>
      <c r="D124" s="196">
        <f>SUM(D115:D122)</f>
        <v>14685041</v>
      </c>
      <c r="E124" s="196">
        <f>SUM(E115:E122)</f>
        <v>7679667.1799999997</v>
      </c>
      <c r="F124" s="196">
        <f>SUM(F115:F122)</f>
        <v>11075516</v>
      </c>
      <c r="G124" s="196">
        <f>SUM(G115:G122)</f>
        <v>14440830</v>
      </c>
      <c r="I124" s="197">
        <f t="shared" si="12"/>
        <v>37388379.18</v>
      </c>
    </row>
    <row r="125" spans="1:9">
      <c r="A125" s="68"/>
      <c r="B125" s="59" t="s">
        <v>85</v>
      </c>
      <c r="C125" s="83">
        <f>+C101-C124</f>
        <v>-1</v>
      </c>
      <c r="D125" s="83">
        <f>+D101-D124</f>
        <v>-1</v>
      </c>
      <c r="E125" s="83">
        <f>+E101-E124</f>
        <v>4.9999999813735485E-2</v>
      </c>
      <c r="F125" s="83">
        <f>+F101-F124</f>
        <v>0</v>
      </c>
      <c r="G125" s="83">
        <f>+G101-G124</f>
        <v>0</v>
      </c>
    </row>
    <row r="126" spans="1:9">
      <c r="A126" s="59"/>
      <c r="B126" s="90"/>
      <c r="C126" s="91"/>
      <c r="D126" s="91"/>
      <c r="E126" s="92"/>
      <c r="F126" s="92"/>
      <c r="G126" s="92"/>
    </row>
    <row r="127" spans="1:9" ht="37.5" customHeight="1">
      <c r="A127" s="333" t="s">
        <v>116</v>
      </c>
      <c r="B127" s="334"/>
      <c r="C127" s="338">
        <f>C57/(C32)</f>
        <v>-7.1295421270990171E-3</v>
      </c>
      <c r="D127" s="338">
        <f>D57/(D32)</f>
        <v>7.1047433792973541E-2</v>
      </c>
      <c r="E127" s="338">
        <f>E57/(E32)</f>
        <v>-2.586723755465318E-4</v>
      </c>
      <c r="F127" s="338">
        <f>F57/(F32)</f>
        <v>6.7320673163585041E-3</v>
      </c>
      <c r="G127" s="338">
        <f>G57/(G32)</f>
        <v>0.16548622541369845</v>
      </c>
    </row>
    <row r="128" spans="1:9" ht="24">
      <c r="A128" s="241"/>
      <c r="B128" s="242" t="s">
        <v>117</v>
      </c>
      <c r="C128" s="338"/>
      <c r="D128" s="338"/>
      <c r="E128" s="338"/>
      <c r="F128" s="338"/>
      <c r="G128" s="338"/>
    </row>
    <row r="129" spans="1:9" ht="14.25">
      <c r="A129" s="243" t="s">
        <v>190</v>
      </c>
      <c r="B129" s="244"/>
      <c r="C129" s="339">
        <f>(SUM(C87:C88))/SUM(C103:C108)</f>
        <v>5.0999684802391432</v>
      </c>
      <c r="D129" s="339">
        <f>(SUM(D87:D88))/SUM(D103:D108)</f>
        <v>1.8631702435017421</v>
      </c>
      <c r="E129" s="339">
        <f>(SUM(E87:E88))/SUM(E103:E108)</f>
        <v>0.89437363764916422</v>
      </c>
      <c r="F129" s="339">
        <f>(SUM(F87:F88))/SUM(F103:F108)</f>
        <v>13.703564363968351</v>
      </c>
      <c r="G129" s="339">
        <f>(SUM(G87:G88))/SUM(G103:G108)</f>
        <v>3.78848758043251</v>
      </c>
    </row>
    <row r="130" spans="1:9" ht="36">
      <c r="A130" s="245"/>
      <c r="B130" s="246" t="s">
        <v>191</v>
      </c>
      <c r="C130" s="340"/>
      <c r="D130" s="340"/>
      <c r="E130" s="340"/>
      <c r="F130" s="340"/>
      <c r="G130" s="340"/>
    </row>
    <row r="131" spans="1:9" ht="14.25">
      <c r="A131" s="243" t="s">
        <v>192</v>
      </c>
      <c r="B131" s="244"/>
      <c r="C131" s="339">
        <f>(SUM(C87:C88))/SUM(C103:C109)</f>
        <v>3.8722868778105881</v>
      </c>
      <c r="D131" s="339">
        <f>(SUM(D87:D88))/SUM(D103:D109)</f>
        <v>1.5405503729122128</v>
      </c>
      <c r="E131" s="339">
        <f>(SUM(E87:E88))/SUM(E103:E109)</f>
        <v>0.64635052007530658</v>
      </c>
      <c r="F131" s="339">
        <f>(SUM(F87:F88))/SUM(F103:F109)</f>
        <v>9.4631968561025968</v>
      </c>
      <c r="G131" s="339">
        <f>(SUM(G87:G88))/SUM(G103:G109)</f>
        <v>3.197821141021052</v>
      </c>
    </row>
    <row r="132" spans="1:9" ht="24">
      <c r="A132" s="245"/>
      <c r="B132" s="246" t="s">
        <v>193</v>
      </c>
      <c r="C132" s="340"/>
      <c r="D132" s="340"/>
      <c r="E132" s="340"/>
      <c r="F132" s="340"/>
      <c r="G132" s="340"/>
    </row>
    <row r="133" spans="1:9" s="151" customFormat="1" ht="8.1" customHeight="1">
      <c r="A133" s="152"/>
      <c r="B133" s="153"/>
      <c r="C133" s="154"/>
      <c r="D133" s="154"/>
      <c r="E133" s="154"/>
      <c r="F133" s="154"/>
      <c r="G133" s="155"/>
      <c r="I133" s="165"/>
    </row>
    <row r="134" spans="1:9">
      <c r="A134" s="248" t="s">
        <v>118</v>
      </c>
      <c r="B134" s="64"/>
      <c r="C134" s="337">
        <f>C115/C101</f>
        <v>0.21594031285298465</v>
      </c>
      <c r="D134" s="337">
        <f>D115/D101</f>
        <v>0.56371729324537079</v>
      </c>
      <c r="E134" s="337">
        <f>E115/E101</f>
        <v>0.94262283158849847</v>
      </c>
      <c r="F134" s="337">
        <f>F115/F101</f>
        <v>0.15393106741031298</v>
      </c>
      <c r="G134" s="337">
        <f>G115/G101</f>
        <v>0.35475834837748244</v>
      </c>
    </row>
    <row r="135" spans="1:9" ht="25.5">
      <c r="A135" s="241"/>
      <c r="B135" s="247" t="s">
        <v>119</v>
      </c>
      <c r="C135" s="337"/>
      <c r="D135" s="337"/>
      <c r="E135" s="337"/>
      <c r="F135" s="337"/>
      <c r="G135" s="337"/>
    </row>
    <row r="136" spans="1:9">
      <c r="A136" s="248" t="s">
        <v>120</v>
      </c>
      <c r="B136" s="249"/>
      <c r="C136" s="337">
        <f>C123/C101</f>
        <v>0.78405975370864778</v>
      </c>
      <c r="D136" s="337">
        <f>D123/D101</f>
        <v>0.43628277485114103</v>
      </c>
      <c r="E136" s="337">
        <f>E123/E101</f>
        <v>5.7377161900802803E-2</v>
      </c>
      <c r="F136" s="337">
        <f>F123/F101</f>
        <v>0.84606893258968707</v>
      </c>
      <c r="G136" s="337">
        <f>G123/G101</f>
        <v>0.64524165162251756</v>
      </c>
    </row>
    <row r="137" spans="1:9" ht="24">
      <c r="A137" s="241"/>
      <c r="B137" s="242" t="s">
        <v>121</v>
      </c>
      <c r="C137" s="337"/>
      <c r="D137" s="337"/>
      <c r="E137" s="337"/>
      <c r="F137" s="337"/>
      <c r="G137" s="337"/>
    </row>
    <row r="138" spans="1:9">
      <c r="A138" s="335" t="s">
        <v>122</v>
      </c>
      <c r="B138" s="336"/>
      <c r="C138" s="337">
        <f>C115/C123</f>
        <v>0.27541308150504418</v>
      </c>
      <c r="D138" s="337">
        <f>D115/D123</f>
        <v>1.2920915647832079</v>
      </c>
      <c r="E138" s="337">
        <f>E115/E123</f>
        <v>16.428537075747371</v>
      </c>
      <c r="F138" s="337">
        <f>F115/F123</f>
        <v>0.18193679200482357</v>
      </c>
      <c r="G138" s="337">
        <f>G115/G123</f>
        <v>0.54980695602246232</v>
      </c>
    </row>
    <row r="139" spans="1:9">
      <c r="A139" s="241"/>
      <c r="B139" s="242" t="s">
        <v>123</v>
      </c>
      <c r="C139" s="337"/>
      <c r="D139" s="337"/>
      <c r="E139" s="337"/>
      <c r="F139" s="337"/>
      <c r="G139" s="337"/>
    </row>
    <row r="140" spans="1:9" s="151" customFormat="1" ht="8.1" customHeight="1">
      <c r="A140" s="156"/>
      <c r="B140" s="157"/>
      <c r="C140" s="157"/>
      <c r="D140" s="157"/>
      <c r="E140" s="157"/>
      <c r="F140" s="157"/>
      <c r="G140" s="163"/>
      <c r="I140" s="165"/>
    </row>
    <row r="141" spans="1:9">
      <c r="A141" s="250" t="s">
        <v>124</v>
      </c>
      <c r="B141" s="23"/>
      <c r="C141" s="107">
        <v>11</v>
      </c>
      <c r="D141" s="107">
        <v>27</v>
      </c>
      <c r="E141" s="107">
        <v>29</v>
      </c>
      <c r="F141" s="107">
        <v>46</v>
      </c>
      <c r="G141" s="107">
        <v>27</v>
      </c>
      <c r="H141" s="71">
        <f>AVERAGE(C141:G141)</f>
        <v>28</v>
      </c>
    </row>
    <row r="142" spans="1:9" s="151" customFormat="1" ht="8.1" customHeight="1">
      <c r="A142" s="162"/>
      <c r="B142" s="157"/>
      <c r="C142" s="159"/>
      <c r="D142" s="159"/>
      <c r="E142" s="159"/>
      <c r="F142" s="159"/>
      <c r="G142" s="172"/>
      <c r="H142" s="166"/>
      <c r="I142" s="165"/>
    </row>
    <row r="143" spans="1:9">
      <c r="A143" s="252" t="s">
        <v>125</v>
      </c>
      <c r="B143" s="252"/>
      <c r="C143" s="173">
        <v>278751</v>
      </c>
      <c r="D143" s="173">
        <v>267460</v>
      </c>
      <c r="E143" s="173">
        <v>188075</v>
      </c>
      <c r="F143" s="173">
        <v>23244</v>
      </c>
      <c r="G143" s="173">
        <v>126648</v>
      </c>
      <c r="H143" s="80">
        <f>AVERAGE(C143:G143)</f>
        <v>176835.6</v>
      </c>
    </row>
    <row r="144" spans="1:9">
      <c r="A144" s="251" t="s">
        <v>126</v>
      </c>
      <c r="B144" s="251"/>
      <c r="C144" s="173">
        <v>138303</v>
      </c>
      <c r="D144" s="173">
        <v>42965</v>
      </c>
      <c r="E144" s="173">
        <v>110936</v>
      </c>
      <c r="F144" s="54">
        <v>127</v>
      </c>
      <c r="G144" s="173">
        <v>79160</v>
      </c>
      <c r="H144" s="80">
        <f>AVERAGE(C144:G144)</f>
        <v>74298.2</v>
      </c>
    </row>
    <row r="145" spans="1:8">
      <c r="A145" s="251" t="s">
        <v>127</v>
      </c>
      <c r="B145" s="251"/>
      <c r="C145" s="173">
        <v>417054</v>
      </c>
      <c r="D145" s="173">
        <v>310425</v>
      </c>
      <c r="E145" s="173">
        <v>299011</v>
      </c>
      <c r="F145" s="173">
        <v>23371</v>
      </c>
      <c r="G145" s="173">
        <v>205808</v>
      </c>
      <c r="H145" s="80">
        <f>AVERAGE(C145:G145)</f>
        <v>251133.8</v>
      </c>
    </row>
    <row r="146" spans="1:8">
      <c r="A146" s="10" t="s">
        <v>177</v>
      </c>
    </row>
  </sheetData>
  <mergeCells count="39">
    <mergeCell ref="D136:D137"/>
    <mergeCell ref="E136:E137"/>
    <mergeCell ref="F136:F137"/>
    <mergeCell ref="G136:G137"/>
    <mergeCell ref="D138:D139"/>
    <mergeCell ref="E138:E139"/>
    <mergeCell ref="F138:F139"/>
    <mergeCell ref="G138:G139"/>
    <mergeCell ref="D131:D132"/>
    <mergeCell ref="E131:E132"/>
    <mergeCell ref="F131:F132"/>
    <mergeCell ref="G131:G132"/>
    <mergeCell ref="D134:D135"/>
    <mergeCell ref="E134:E135"/>
    <mergeCell ref="F134:F135"/>
    <mergeCell ref="G134:G135"/>
    <mergeCell ref="E127:E128"/>
    <mergeCell ref="F127:F128"/>
    <mergeCell ref="G127:G128"/>
    <mergeCell ref="D129:D130"/>
    <mergeCell ref="E129:E130"/>
    <mergeCell ref="F129:F130"/>
    <mergeCell ref="G129:G130"/>
    <mergeCell ref="G2:G3"/>
    <mergeCell ref="A138:B138"/>
    <mergeCell ref="A1:B3"/>
    <mergeCell ref="C2:C3"/>
    <mergeCell ref="D2:D3"/>
    <mergeCell ref="E2:E3"/>
    <mergeCell ref="F2:F3"/>
    <mergeCell ref="A127:B127"/>
    <mergeCell ref="A81:B82"/>
    <mergeCell ref="C127:C128"/>
    <mergeCell ref="C129:C130"/>
    <mergeCell ref="C131:C132"/>
    <mergeCell ref="C134:C135"/>
    <mergeCell ref="C136:C137"/>
    <mergeCell ref="C138:C139"/>
    <mergeCell ref="D127:D128"/>
  </mergeCells>
  <conditionalFormatting sqref="C127:C128 E127:G128">
    <cfRule type="cellIs" dxfId="8" priority="5" operator="lessThan">
      <formula>0</formula>
    </cfRule>
  </conditionalFormatting>
  <conditionalFormatting sqref="E69:G69">
    <cfRule type="cellIs" dxfId="7" priority="4" operator="lessThan">
      <formula>0</formula>
    </cfRule>
  </conditionalFormatting>
  <conditionalFormatting sqref="C69">
    <cfRule type="cellIs" dxfId="6" priority="3" operator="lessThan">
      <formula>0</formula>
    </cfRule>
  </conditionalFormatting>
  <conditionalFormatting sqref="D127:D128">
    <cfRule type="cellIs" dxfId="5" priority="2" operator="lessThan">
      <formula>0</formula>
    </cfRule>
  </conditionalFormatting>
  <conditionalFormatting sqref="D69">
    <cfRule type="cellIs" dxfId="4" priority="1" operator="lessThan">
      <formula>0</formula>
    </cfRule>
  </conditionalFormatting>
  <printOptions horizontalCentered="1"/>
  <pageMargins left="0.5" right="0.5" top="0.7" bottom="0.35" header="0.5" footer="0.15"/>
  <pageSetup scale="66" orientation="portrait" r:id="rId1"/>
  <headerFooter alignWithMargins="0">
    <oddHeader>&amp;C&amp;"Arial,Bold"&amp;14CLASS VI FAIRS</oddHeader>
    <oddFooter>&amp;CFairs and Expositions</oddFooter>
  </headerFooter>
  <rowBreaks count="1" manualBreakCount="1">
    <brk id="80" max="6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view="pageBreakPreview" zoomScale="85" zoomScaleNormal="10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D6" sqref="D6"/>
    </sheetView>
  </sheetViews>
  <sheetFormatPr defaultRowHeight="12.75"/>
  <cols>
    <col min="1" max="1" width="4.7109375" style="10" customWidth="1"/>
    <col min="2" max="2" width="56.42578125" style="10" customWidth="1"/>
    <col min="3" max="7" width="12.7109375" style="10" customWidth="1"/>
    <col min="8" max="8" width="14.5703125" style="10" customWidth="1"/>
    <col min="9" max="9" width="13.7109375" style="10" customWidth="1"/>
    <col min="10" max="10" width="9.7109375" style="10" bestFit="1" customWidth="1"/>
    <col min="11" max="11" width="11.7109375" style="10" bestFit="1" customWidth="1"/>
    <col min="12" max="16384" width="9.140625" style="10"/>
  </cols>
  <sheetData>
    <row r="1" spans="1:9" ht="12" customHeight="1">
      <c r="A1" s="318"/>
      <c r="B1" s="319"/>
      <c r="C1" s="260"/>
      <c r="D1" s="260"/>
      <c r="E1" s="260"/>
      <c r="F1" s="260"/>
      <c r="G1" s="260"/>
    </row>
    <row r="2" spans="1:9" ht="12" customHeight="1">
      <c r="A2" s="320"/>
      <c r="B2" s="321"/>
      <c r="C2" s="356" t="s">
        <v>183</v>
      </c>
      <c r="D2" s="327" t="s">
        <v>184</v>
      </c>
      <c r="E2" s="327" t="s">
        <v>185</v>
      </c>
      <c r="F2" s="327" t="s">
        <v>186</v>
      </c>
      <c r="G2" s="349" t="s">
        <v>212</v>
      </c>
    </row>
    <row r="3" spans="1:9" ht="69" customHeight="1">
      <c r="A3" s="322"/>
      <c r="B3" s="323"/>
      <c r="C3" s="357"/>
      <c r="D3" s="328"/>
      <c r="E3" s="328"/>
      <c r="F3" s="328"/>
      <c r="G3" s="350"/>
      <c r="I3" s="10" t="s">
        <v>39</v>
      </c>
    </row>
    <row r="4" spans="1:9" ht="13.5" customHeight="1">
      <c r="A4" s="262" t="s">
        <v>227</v>
      </c>
      <c r="B4" s="12"/>
      <c r="C4" s="14"/>
      <c r="D4" s="14"/>
      <c r="E4" s="14"/>
      <c r="F4" s="14"/>
      <c r="G4" s="288"/>
    </row>
    <row r="5" spans="1:9" ht="13.5" customHeight="1">
      <c r="A5" s="267"/>
      <c r="B5" s="12" t="s">
        <v>40</v>
      </c>
      <c r="C5" s="14">
        <v>9322802</v>
      </c>
      <c r="D5" s="14">
        <v>41094203</v>
      </c>
      <c r="E5" s="14">
        <v>4749257</v>
      </c>
      <c r="F5" s="14">
        <v>-5399689</v>
      </c>
      <c r="G5" s="219"/>
    </row>
    <row r="6" spans="1:9" ht="13.5" customHeight="1">
      <c r="A6" s="267"/>
      <c r="B6" s="12" t="s">
        <v>214</v>
      </c>
      <c r="C6" s="30">
        <v>-26330586</v>
      </c>
      <c r="D6" s="30">
        <v>-11621823</v>
      </c>
      <c r="E6" s="30">
        <v>0</v>
      </c>
      <c r="F6" s="30">
        <v>-8937135</v>
      </c>
      <c r="G6" s="31"/>
    </row>
    <row r="7" spans="1:9" ht="13.5" customHeight="1">
      <c r="A7" s="267"/>
      <c r="B7" s="12" t="s">
        <v>41</v>
      </c>
      <c r="C7" s="30">
        <v>183047</v>
      </c>
      <c r="D7" s="30">
        <v>0</v>
      </c>
      <c r="E7" s="30">
        <v>0</v>
      </c>
      <c r="F7" s="30">
        <v>125515</v>
      </c>
      <c r="G7" s="31"/>
    </row>
    <row r="8" spans="1:9" ht="13.5" customHeight="1">
      <c r="A8" s="267"/>
      <c r="B8" s="12" t="s">
        <v>42</v>
      </c>
      <c r="C8" s="31">
        <v>20937501</v>
      </c>
      <c r="D8" s="31">
        <v>51156166</v>
      </c>
      <c r="E8" s="31">
        <v>8298030</v>
      </c>
      <c r="F8" s="31">
        <v>14412449</v>
      </c>
      <c r="G8" s="31"/>
    </row>
    <row r="9" spans="1:9" ht="13.5" customHeight="1">
      <c r="A9" s="267"/>
      <c r="B9" s="12" t="s">
        <v>226</v>
      </c>
      <c r="C9" s="30">
        <v>0</v>
      </c>
      <c r="D9" s="30">
        <v>0</v>
      </c>
      <c r="E9" s="30">
        <v>0</v>
      </c>
      <c r="F9" s="30">
        <v>-19425550</v>
      </c>
      <c r="G9" s="31">
        <v>0</v>
      </c>
      <c r="I9" s="58">
        <f>SUM(C9:D9)</f>
        <v>0</v>
      </c>
    </row>
    <row r="10" spans="1:9" s="22" customFormat="1" ht="13.5" customHeight="1" thickBot="1">
      <c r="A10" s="265"/>
      <c r="B10" s="98" t="s">
        <v>43</v>
      </c>
      <c r="C10" s="67">
        <f>SUM(C5:C9)</f>
        <v>4112764</v>
      </c>
      <c r="D10" s="67">
        <f t="shared" ref="D10:F10" si="0">SUM(D5:D9)</f>
        <v>80628546</v>
      </c>
      <c r="E10" s="67">
        <f t="shared" si="0"/>
        <v>13047287</v>
      </c>
      <c r="F10" s="67">
        <f t="shared" si="0"/>
        <v>-19224410</v>
      </c>
      <c r="G10" s="67">
        <f t="shared" ref="G10" si="1">SUM(G5:G9)</f>
        <v>0</v>
      </c>
      <c r="I10" s="58">
        <f>SUM(C10:D10)</f>
        <v>84741310</v>
      </c>
    </row>
    <row r="11" spans="1:9" s="22" customFormat="1" ht="13.5" customHeight="1">
      <c r="A11" s="241" t="s">
        <v>44</v>
      </c>
      <c r="B11" s="36"/>
      <c r="C11" s="42"/>
      <c r="D11" s="42"/>
      <c r="E11" s="42"/>
      <c r="F11" s="42"/>
      <c r="G11" s="42"/>
    </row>
    <row r="12" spans="1:9" s="22" customFormat="1" ht="13.5" customHeight="1">
      <c r="A12" s="264"/>
      <c r="B12" s="23" t="s">
        <v>45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I12" s="58">
        <f>SUM(C12:D12)</f>
        <v>0</v>
      </c>
    </row>
    <row r="13" spans="1:9" s="22" customFormat="1" ht="13.5" customHeight="1">
      <c r="A13" s="264"/>
      <c r="B13" s="23" t="s">
        <v>46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I13" s="58">
        <f>SUM(C13:D13)</f>
        <v>0</v>
      </c>
    </row>
    <row r="14" spans="1:9" s="22" customFormat="1" ht="13.5" customHeight="1" thickBot="1">
      <c r="A14" s="265"/>
      <c r="B14" s="32" t="s">
        <v>47</v>
      </c>
      <c r="C14" s="33">
        <v>0</v>
      </c>
      <c r="D14" s="33">
        <v>0</v>
      </c>
      <c r="E14" s="33">
        <v>0</v>
      </c>
      <c r="F14" s="33">
        <v>-3</v>
      </c>
      <c r="G14" s="33">
        <v>0</v>
      </c>
      <c r="I14" s="58">
        <f>SUM(C14:D14)</f>
        <v>0</v>
      </c>
    </row>
    <row r="15" spans="1:9" ht="13.5" customHeight="1">
      <c r="A15" s="266" t="s">
        <v>48</v>
      </c>
      <c r="B15" s="25"/>
      <c r="C15" s="27"/>
      <c r="D15" s="27"/>
      <c r="E15" s="27"/>
      <c r="F15" s="27"/>
      <c r="G15" s="27"/>
    </row>
    <row r="16" spans="1:9" ht="13.5" customHeight="1">
      <c r="A16" s="267"/>
      <c r="B16" s="29" t="s">
        <v>49</v>
      </c>
      <c r="C16" s="30">
        <v>9263147</v>
      </c>
      <c r="D16" s="30">
        <v>11180900</v>
      </c>
      <c r="E16" s="30">
        <v>4608673</v>
      </c>
      <c r="F16" s="30">
        <v>4424768</v>
      </c>
      <c r="G16" s="30"/>
    </row>
    <row r="17" spans="1:11" ht="13.5" customHeight="1">
      <c r="A17" s="267"/>
      <c r="B17" s="29" t="s">
        <v>50</v>
      </c>
      <c r="C17" s="30">
        <v>3630289</v>
      </c>
      <c r="D17" s="30">
        <v>1397229</v>
      </c>
      <c r="E17" s="30">
        <v>878947</v>
      </c>
      <c r="F17" s="30">
        <v>1350563</v>
      </c>
      <c r="G17" s="30"/>
    </row>
    <row r="18" spans="1:11" ht="13.5" customHeight="1">
      <c r="A18" s="267"/>
      <c r="B18" s="29" t="s">
        <v>51</v>
      </c>
      <c r="C18" s="30">
        <v>11416678</v>
      </c>
      <c r="D18" s="30">
        <v>3898744</v>
      </c>
      <c r="E18" s="30">
        <v>1786912</v>
      </c>
      <c r="F18" s="30">
        <v>1872660</v>
      </c>
      <c r="G18" s="30"/>
    </row>
    <row r="19" spans="1:11" ht="13.5" customHeight="1">
      <c r="A19" s="267"/>
      <c r="B19" s="29" t="s">
        <v>52</v>
      </c>
      <c r="C19" s="30">
        <v>4890187</v>
      </c>
      <c r="D19" s="30">
        <v>8522523</v>
      </c>
      <c r="E19" s="30">
        <v>1858968</v>
      </c>
      <c r="F19" s="30">
        <v>2188934</v>
      </c>
      <c r="G19" s="30"/>
    </row>
    <row r="20" spans="1:11" ht="13.5" customHeight="1">
      <c r="A20" s="267"/>
      <c r="B20" s="29" t="s">
        <v>53</v>
      </c>
      <c r="C20" s="30">
        <v>883484</v>
      </c>
      <c r="D20" s="30">
        <v>120953</v>
      </c>
      <c r="E20" s="30">
        <v>79808</v>
      </c>
      <c r="F20" s="30">
        <v>530003</v>
      </c>
      <c r="G20" s="30"/>
    </row>
    <row r="21" spans="1:11" ht="13.5" customHeight="1">
      <c r="A21" s="267"/>
      <c r="B21" s="29" t="s">
        <v>54</v>
      </c>
      <c r="C21" s="30">
        <v>2243090</v>
      </c>
      <c r="D21" s="30">
        <v>0</v>
      </c>
      <c r="E21" s="30">
        <v>227905</v>
      </c>
      <c r="F21" s="30">
        <v>0</v>
      </c>
      <c r="G21" s="30"/>
    </row>
    <row r="22" spans="1:11" ht="13.5" customHeight="1">
      <c r="A22" s="267"/>
      <c r="B22" s="29" t="s">
        <v>55</v>
      </c>
      <c r="C22" s="31">
        <v>0</v>
      </c>
      <c r="D22" s="31">
        <v>0</v>
      </c>
      <c r="E22" s="31">
        <v>2101618</v>
      </c>
      <c r="F22" s="31">
        <v>1072742</v>
      </c>
      <c r="G22" s="30"/>
    </row>
    <row r="23" spans="1:11" ht="13.5" customHeight="1">
      <c r="A23" s="267"/>
      <c r="B23" s="29" t="s">
        <v>56</v>
      </c>
      <c r="C23" s="30">
        <v>1367913</v>
      </c>
      <c r="D23" s="30">
        <v>0</v>
      </c>
      <c r="E23" s="30">
        <v>1568553</v>
      </c>
      <c r="F23" s="30">
        <v>941913</v>
      </c>
      <c r="G23" s="31"/>
    </row>
    <row r="24" spans="1:11" ht="13.5" customHeight="1">
      <c r="A24" s="267"/>
      <c r="B24" s="29" t="s">
        <v>57</v>
      </c>
      <c r="C24" s="30">
        <v>1701599</v>
      </c>
      <c r="D24" s="30">
        <v>4810443</v>
      </c>
      <c r="E24" s="30">
        <v>0</v>
      </c>
      <c r="F24" s="30">
        <v>0</v>
      </c>
      <c r="G24" s="30"/>
    </row>
    <row r="25" spans="1:11" ht="13.5" customHeight="1">
      <c r="A25" s="267"/>
      <c r="B25" s="29" t="s">
        <v>58</v>
      </c>
      <c r="C25" s="30">
        <v>0</v>
      </c>
      <c r="D25" s="30">
        <v>0</v>
      </c>
      <c r="E25" s="30">
        <v>0</v>
      </c>
      <c r="F25" s="30">
        <v>0</v>
      </c>
      <c r="G25" s="30"/>
    </row>
    <row r="26" spans="1:11" ht="13.5" customHeight="1">
      <c r="A26" s="267"/>
      <c r="B26" s="29" t="s">
        <v>59</v>
      </c>
      <c r="C26" s="30">
        <v>0</v>
      </c>
      <c r="D26" s="30">
        <v>1604646</v>
      </c>
      <c r="E26" s="30">
        <v>0</v>
      </c>
      <c r="F26" s="30">
        <v>816452</v>
      </c>
      <c r="G26" s="30"/>
    </row>
    <row r="27" spans="1:11" ht="13.5" customHeight="1">
      <c r="A27" s="267"/>
      <c r="B27" s="29" t="s">
        <v>60</v>
      </c>
      <c r="C27" s="30">
        <v>6709390</v>
      </c>
      <c r="D27" s="30">
        <v>5582077</v>
      </c>
      <c r="E27" s="30">
        <v>747192</v>
      </c>
      <c r="F27" s="30">
        <v>5228849</v>
      </c>
      <c r="G27" s="30"/>
    </row>
    <row r="28" spans="1:11" ht="13.5" customHeight="1">
      <c r="A28" s="267"/>
      <c r="B28" s="29" t="s">
        <v>148</v>
      </c>
      <c r="C28" s="30">
        <v>931502</v>
      </c>
      <c r="D28" s="30">
        <v>89702</v>
      </c>
      <c r="E28" s="30">
        <v>0</v>
      </c>
      <c r="F28" s="30">
        <v>1361740</v>
      </c>
      <c r="G28" s="30"/>
    </row>
    <row r="29" spans="1:11" ht="13.5" customHeight="1">
      <c r="A29" s="267"/>
      <c r="B29" s="29" t="s">
        <v>62</v>
      </c>
      <c r="C29" s="30">
        <v>35300759</v>
      </c>
      <c r="D29" s="30">
        <v>11467361</v>
      </c>
      <c r="E29" s="30">
        <v>8341403</v>
      </c>
      <c r="F29" s="30">
        <v>7928655</v>
      </c>
      <c r="G29" s="30"/>
      <c r="I29" s="20">
        <f>SUM(C29:D29)</f>
        <v>46768120</v>
      </c>
    </row>
    <row r="30" spans="1:11" ht="13.5" customHeight="1">
      <c r="A30" s="267"/>
      <c r="B30" s="29" t="s">
        <v>63</v>
      </c>
      <c r="C30" s="30">
        <v>0</v>
      </c>
      <c r="D30" s="30">
        <v>6613</v>
      </c>
      <c r="E30" s="30">
        <v>12360</v>
      </c>
      <c r="F30" s="30">
        <v>102502</v>
      </c>
      <c r="G30" s="30"/>
      <c r="I30" s="20">
        <f>SUM(C30:D30)</f>
        <v>6613</v>
      </c>
    </row>
    <row r="31" spans="1:11" ht="13.5" customHeight="1">
      <c r="A31" s="267"/>
      <c r="B31" s="29" t="s">
        <v>64</v>
      </c>
      <c r="C31" s="31">
        <v>895110.98</v>
      </c>
      <c r="D31" s="31">
        <v>1072946</v>
      </c>
      <c r="E31" s="31">
        <v>3282556</v>
      </c>
      <c r="F31" s="31">
        <v>1038095</v>
      </c>
      <c r="G31" s="31"/>
      <c r="I31" s="20">
        <f>SUM(C31:D31)</f>
        <v>1968056.98</v>
      </c>
      <c r="J31" s="20">
        <f>+I31+I30</f>
        <v>1974669.98</v>
      </c>
      <c r="K31" s="10" t="s">
        <v>65</v>
      </c>
    </row>
    <row r="32" spans="1:11" s="22" customFormat="1" ht="13.5" customHeight="1" thickBot="1">
      <c r="A32" s="263" t="s">
        <v>66</v>
      </c>
      <c r="B32" s="32"/>
      <c r="C32" s="33">
        <f>SUM(C16:C31)</f>
        <v>79233148.980000004</v>
      </c>
      <c r="D32" s="33">
        <f>SUM(D16:D31)</f>
        <v>49754137</v>
      </c>
      <c r="E32" s="33">
        <f>SUM(E16:E31)</f>
        <v>25494895</v>
      </c>
      <c r="F32" s="33">
        <f>SUM(F16:F31)</f>
        <v>28857876</v>
      </c>
      <c r="G32" s="33">
        <f>SUM(G16:G31)</f>
        <v>0</v>
      </c>
      <c r="H32" s="129">
        <f>AVERAGE(C32:G32)</f>
        <v>36668011.396000005</v>
      </c>
      <c r="I32" s="34">
        <f>SUM(C32:D32)+SUM(C12:D14)</f>
        <v>128987285.98</v>
      </c>
      <c r="K32" s="34">
        <f>+I32+'Class 6'!I32+'Class 5'!H32+'Class 4+'!J32+'Class 4'!L32+'Class 3+'!R32+'Class 3'!R32+'Class 2'!M32+'Class 1'!Q32</f>
        <v>239293292.34799999</v>
      </c>
    </row>
    <row r="33" spans="1:9" ht="13.5" customHeight="1">
      <c r="A33" s="266" t="s">
        <v>68</v>
      </c>
      <c r="B33" s="25"/>
      <c r="C33" s="27"/>
      <c r="D33" s="27"/>
      <c r="E33" s="27"/>
      <c r="F33" s="27"/>
      <c r="G33" s="27"/>
    </row>
    <row r="34" spans="1:9" ht="13.5" customHeight="1">
      <c r="A34" s="267"/>
      <c r="B34" s="29" t="s">
        <v>69</v>
      </c>
      <c r="C34" s="30">
        <v>28298537.77</v>
      </c>
      <c r="D34" s="30">
        <v>8219757</v>
      </c>
      <c r="E34" s="30">
        <v>2104358</v>
      </c>
      <c r="F34" s="30">
        <v>6868050</v>
      </c>
      <c r="G34" s="30"/>
      <c r="I34" s="20">
        <f>SUM(C34:D34)</f>
        <v>36518294.769999996</v>
      </c>
    </row>
    <row r="35" spans="1:9" ht="13.5" customHeight="1">
      <c r="A35" s="267"/>
      <c r="B35" s="29" t="s">
        <v>70</v>
      </c>
      <c r="C35" s="30">
        <v>10139017.9</v>
      </c>
      <c r="D35" s="30">
        <v>12847187</v>
      </c>
      <c r="E35" s="30">
        <v>3631503</v>
      </c>
      <c r="F35" s="30">
        <v>10348270</v>
      </c>
      <c r="G35" s="30"/>
      <c r="I35" s="20">
        <f>SUM(C35:D35)</f>
        <v>22986204.899999999</v>
      </c>
    </row>
    <row r="36" spans="1:9" ht="13.5" customHeight="1">
      <c r="A36" s="267"/>
      <c r="B36" s="29" t="s">
        <v>71</v>
      </c>
      <c r="C36" s="30">
        <v>3145324.82</v>
      </c>
      <c r="D36" s="30">
        <v>2967340</v>
      </c>
      <c r="E36" s="30">
        <v>1326921</v>
      </c>
      <c r="F36" s="30">
        <v>1814295</v>
      </c>
      <c r="G36" s="30"/>
    </row>
    <row r="37" spans="1:9" ht="13.5" customHeight="1">
      <c r="A37" s="267"/>
      <c r="B37" s="29" t="s">
        <v>72</v>
      </c>
      <c r="C37" s="30">
        <v>5580091.8099999996</v>
      </c>
      <c r="D37" s="30">
        <v>5588456</v>
      </c>
      <c r="E37" s="30">
        <v>3073438</v>
      </c>
      <c r="F37" s="30">
        <v>2052735</v>
      </c>
      <c r="G37" s="30"/>
    </row>
    <row r="38" spans="1:9" ht="13.5" customHeight="1">
      <c r="A38" s="267"/>
      <c r="B38" s="29" t="s">
        <v>60</v>
      </c>
      <c r="C38" s="30">
        <v>763231</v>
      </c>
      <c r="D38" s="30">
        <v>777394</v>
      </c>
      <c r="E38" s="30">
        <v>0</v>
      </c>
      <c r="F38" s="30">
        <v>0</v>
      </c>
      <c r="G38" s="30"/>
    </row>
    <row r="39" spans="1:9" ht="13.5" customHeight="1">
      <c r="A39" s="267"/>
      <c r="B39" s="29" t="s">
        <v>73</v>
      </c>
      <c r="C39" s="30">
        <v>4210544.97</v>
      </c>
      <c r="D39" s="30">
        <v>421771</v>
      </c>
      <c r="E39" s="30">
        <v>2896967</v>
      </c>
      <c r="F39" s="30">
        <v>0</v>
      </c>
      <c r="G39" s="30"/>
    </row>
    <row r="40" spans="1:9" ht="13.5" customHeight="1">
      <c r="A40" s="267"/>
      <c r="B40" s="29" t="s">
        <v>74</v>
      </c>
      <c r="C40" s="30">
        <v>449236</v>
      </c>
      <c r="D40" s="30">
        <v>147259</v>
      </c>
      <c r="E40" s="30">
        <v>230657</v>
      </c>
      <c r="F40" s="30">
        <v>368709</v>
      </c>
      <c r="G40" s="30"/>
    </row>
    <row r="41" spans="1:9" ht="13.5" customHeight="1">
      <c r="A41" s="267"/>
      <c r="B41" s="29" t="s">
        <v>53</v>
      </c>
      <c r="C41" s="30">
        <v>10237645.24</v>
      </c>
      <c r="D41" s="30">
        <v>2643572</v>
      </c>
      <c r="E41" s="30">
        <v>816377</v>
      </c>
      <c r="F41" s="30">
        <v>2005350</v>
      </c>
      <c r="G41" s="30"/>
    </row>
    <row r="42" spans="1:9">
      <c r="A42" s="267"/>
      <c r="B42" s="29" t="s">
        <v>54</v>
      </c>
      <c r="C42" s="30">
        <v>1215367.57</v>
      </c>
      <c r="D42" s="30">
        <v>0</v>
      </c>
      <c r="E42" s="30">
        <v>809422</v>
      </c>
      <c r="F42" s="30">
        <v>0</v>
      </c>
      <c r="G42" s="30"/>
    </row>
    <row r="43" spans="1:9" ht="13.5" customHeight="1">
      <c r="A43" s="267"/>
      <c r="B43" s="29" t="s">
        <v>55</v>
      </c>
      <c r="C43" s="30">
        <v>0</v>
      </c>
      <c r="D43" s="30">
        <v>0</v>
      </c>
      <c r="E43" s="30">
        <v>1925791</v>
      </c>
      <c r="F43" s="30">
        <v>1151695</v>
      </c>
      <c r="G43" s="30"/>
    </row>
    <row r="44" spans="1:9" ht="13.5" customHeight="1">
      <c r="A44" s="267"/>
      <c r="B44" s="29" t="s">
        <v>56</v>
      </c>
      <c r="C44" s="30">
        <v>1212142.45</v>
      </c>
      <c r="D44" s="30">
        <v>0</v>
      </c>
      <c r="E44" s="30">
        <v>1277976</v>
      </c>
      <c r="F44" s="30">
        <v>418378</v>
      </c>
      <c r="G44" s="30"/>
    </row>
    <row r="45" spans="1:9" ht="13.5" customHeight="1">
      <c r="A45" s="267"/>
      <c r="B45" s="29" t="s">
        <v>75</v>
      </c>
      <c r="C45" s="30">
        <v>5816156.6600000001</v>
      </c>
      <c r="D45" s="30">
        <v>7963888</v>
      </c>
      <c r="E45" s="30">
        <v>1894990</v>
      </c>
      <c r="F45" s="30">
        <v>1524799</v>
      </c>
      <c r="G45" s="30"/>
    </row>
    <row r="46" spans="1:9" ht="13.5" customHeight="1">
      <c r="A46" s="267"/>
      <c r="B46" s="29" t="s">
        <v>58</v>
      </c>
      <c r="C46" s="30">
        <v>0</v>
      </c>
      <c r="D46" s="30">
        <v>0</v>
      </c>
      <c r="E46" s="30">
        <v>0</v>
      </c>
      <c r="F46" s="30">
        <v>0</v>
      </c>
      <c r="G46" s="30"/>
    </row>
    <row r="47" spans="1:9" ht="13.5" customHeight="1">
      <c r="A47" s="267"/>
      <c r="B47" s="29" t="s">
        <v>76</v>
      </c>
      <c r="C47" s="30">
        <v>1706642.03</v>
      </c>
      <c r="D47" s="30">
        <v>142652</v>
      </c>
      <c r="E47" s="30">
        <v>4062097</v>
      </c>
      <c r="F47" s="30">
        <v>0</v>
      </c>
      <c r="G47" s="30"/>
    </row>
    <row r="48" spans="1:9" ht="13.5" customHeight="1">
      <c r="A48" s="267"/>
      <c r="B48" s="29" t="s">
        <v>77</v>
      </c>
      <c r="C48" s="30">
        <v>0</v>
      </c>
      <c r="D48" s="30">
        <v>0</v>
      </c>
      <c r="E48" s="30">
        <v>0</v>
      </c>
      <c r="F48" s="30">
        <v>984274</v>
      </c>
      <c r="G48" s="30"/>
    </row>
    <row r="49" spans="1:11" ht="13.5" customHeight="1">
      <c r="A49" s="267"/>
      <c r="B49" s="29" t="s">
        <v>78</v>
      </c>
      <c r="C49" s="30">
        <v>0</v>
      </c>
      <c r="D49" s="30">
        <v>244235</v>
      </c>
      <c r="E49" s="30">
        <v>0</v>
      </c>
      <c r="F49" s="30">
        <v>27705</v>
      </c>
      <c r="G49" s="30"/>
    </row>
    <row r="50" spans="1:11" ht="13.5" customHeight="1">
      <c r="A50" s="267"/>
      <c r="B50" s="29" t="s">
        <v>79</v>
      </c>
      <c r="C50" s="30">
        <v>1298</v>
      </c>
      <c r="D50" s="30">
        <v>20269</v>
      </c>
      <c r="E50" s="30">
        <v>933414</v>
      </c>
      <c r="F50" s="30">
        <v>3294</v>
      </c>
      <c r="G50" s="30"/>
    </row>
    <row r="51" spans="1:11" ht="13.5" customHeight="1">
      <c r="A51" s="267"/>
      <c r="B51" s="29" t="s">
        <v>80</v>
      </c>
      <c r="C51" s="30">
        <v>176220</v>
      </c>
      <c r="D51" s="30">
        <v>975</v>
      </c>
      <c r="E51" s="30">
        <v>14994</v>
      </c>
      <c r="F51" s="30">
        <v>0</v>
      </c>
      <c r="G51" s="30"/>
    </row>
    <row r="52" spans="1:11" s="22" customFormat="1" ht="13.5" customHeight="1" thickBot="1">
      <c r="A52" s="263" t="s">
        <v>81</v>
      </c>
      <c r="B52" s="32"/>
      <c r="C52" s="33">
        <f>SUM(C34:C51)</f>
        <v>72951456.220000014</v>
      </c>
      <c r="D52" s="33">
        <f>SUM(D34:D51)</f>
        <v>41984755</v>
      </c>
      <c r="E52" s="33">
        <f>SUM(E34:E51)</f>
        <v>24998905</v>
      </c>
      <c r="F52" s="33">
        <f>SUM(F34:F51)</f>
        <v>27567554</v>
      </c>
      <c r="G52" s="33">
        <f>SUM(G34:G51)</f>
        <v>0</v>
      </c>
      <c r="H52" s="80">
        <f>AVERAGE(C52:G52)</f>
        <v>33500534.044000007</v>
      </c>
      <c r="I52" s="34">
        <f>+SUM(C52:D52)+SUM(C54:D54)-C53-D53</f>
        <v>121858087.22000001</v>
      </c>
      <c r="K52" s="34">
        <f>+I52+'Class 6'!I52+'Class 5'!H52+'Class 4+'!J52+'Class 4'!L52+'Class 3+'!R52+'Class 3'!R52+'Class 2'!M52+'Class 1'!Q52</f>
        <v>225415486.28</v>
      </c>
    </row>
    <row r="53" spans="1:11" ht="13.5" customHeight="1">
      <c r="A53" s="274" t="s">
        <v>82</v>
      </c>
      <c r="B53" s="76"/>
      <c r="C53" s="130">
        <f>-(141857+1871554)</f>
        <v>-2013411</v>
      </c>
      <c r="D53" s="79"/>
      <c r="E53" s="77"/>
      <c r="F53" s="77"/>
      <c r="G53" s="77"/>
      <c r="H53" s="95"/>
    </row>
    <row r="54" spans="1:11" s="22" customFormat="1" ht="13.5" customHeight="1">
      <c r="A54" s="264"/>
      <c r="B54" s="23" t="s">
        <v>83</v>
      </c>
      <c r="C54" s="24">
        <v>1461939</v>
      </c>
      <c r="D54" s="24">
        <v>3446526</v>
      </c>
      <c r="E54" s="24">
        <v>1018734</v>
      </c>
      <c r="F54" s="24">
        <v>1624850</v>
      </c>
      <c r="G54" s="24"/>
      <c r="H54" s="80"/>
      <c r="I54" s="20">
        <f>SUM(C54:D54)</f>
        <v>4908465</v>
      </c>
    </row>
    <row r="55" spans="1:11" s="22" customFormat="1" ht="13.5" customHeight="1">
      <c r="A55" s="268"/>
      <c r="B55" s="36" t="s">
        <v>201</v>
      </c>
      <c r="C55" s="24">
        <v>3634041.7800000003</v>
      </c>
      <c r="D55" s="42">
        <v>609476</v>
      </c>
      <c r="E55" s="42">
        <v>0</v>
      </c>
      <c r="F55" s="24">
        <f>1273468</f>
        <v>1273468</v>
      </c>
      <c r="G55" s="42"/>
      <c r="H55" s="80"/>
      <c r="I55" s="20">
        <f>SUM(C55:D55)</f>
        <v>4243517.78</v>
      </c>
    </row>
    <row r="56" spans="1:11" s="22" customFormat="1" ht="13.5" customHeight="1">
      <c r="A56" s="268"/>
      <c r="B56" s="36" t="s">
        <v>229</v>
      </c>
      <c r="C56" s="24">
        <v>0</v>
      </c>
      <c r="D56" s="42">
        <v>0</v>
      </c>
      <c r="E56" s="42">
        <v>0</v>
      </c>
      <c r="F56" s="24">
        <v>994105</v>
      </c>
      <c r="G56" s="42"/>
      <c r="H56" s="80"/>
      <c r="I56" s="20">
        <f>SUM(C56:D56)</f>
        <v>0</v>
      </c>
    </row>
    <row r="57" spans="1:11" s="22" customFormat="1" ht="13.5" customHeight="1">
      <c r="A57" s="241" t="s">
        <v>230</v>
      </c>
      <c r="B57" s="36"/>
      <c r="C57" s="24">
        <f>+C32-C52</f>
        <v>6281692.7599999905</v>
      </c>
      <c r="D57" s="24">
        <f t="shared" ref="D57:F57" si="2">+D32-D52</f>
        <v>7769382</v>
      </c>
      <c r="E57" s="24">
        <f t="shared" si="2"/>
        <v>495990</v>
      </c>
      <c r="F57" s="24">
        <f t="shared" si="2"/>
        <v>1290322</v>
      </c>
      <c r="G57" s="24">
        <f t="shared" ref="G57" si="3">+G32-G52</f>
        <v>0</v>
      </c>
      <c r="H57" s="80">
        <f t="shared" ref="H57:H62" si="4">AVERAGE(C57:G57)</f>
        <v>3167477.3519999981</v>
      </c>
    </row>
    <row r="58" spans="1:11" s="22" customFormat="1" ht="13.5" customHeight="1">
      <c r="A58" s="241" t="s">
        <v>239</v>
      </c>
      <c r="B58" s="36"/>
      <c r="C58" s="24">
        <f>+C32-C52-C54</f>
        <v>4819753.7599999905</v>
      </c>
      <c r="D58" s="24">
        <f t="shared" ref="D58:G58" si="5">+D32-D52-D54</f>
        <v>4322856</v>
      </c>
      <c r="E58" s="24">
        <f t="shared" si="5"/>
        <v>-522744</v>
      </c>
      <c r="F58" s="24">
        <f t="shared" si="5"/>
        <v>-334528</v>
      </c>
      <c r="G58" s="24">
        <f t="shared" si="5"/>
        <v>0</v>
      </c>
      <c r="H58" s="80">
        <f t="shared" si="4"/>
        <v>1657067.551999998</v>
      </c>
    </row>
    <row r="59" spans="1:11" s="22" customFormat="1" ht="13.5" customHeight="1">
      <c r="A59" s="241" t="s">
        <v>231</v>
      </c>
      <c r="B59" s="36"/>
      <c r="C59" s="24">
        <f>+C32-C52-SUM(C54:C56)</f>
        <v>1185711.9799999902</v>
      </c>
      <c r="D59" s="24">
        <f t="shared" ref="D59:G59" si="6">+D32-D52-SUM(D54:D56)</f>
        <v>3713380</v>
      </c>
      <c r="E59" s="24">
        <f t="shared" si="6"/>
        <v>-522744</v>
      </c>
      <c r="F59" s="24">
        <f t="shared" si="6"/>
        <v>-2602101</v>
      </c>
      <c r="G59" s="24">
        <f t="shared" si="6"/>
        <v>0</v>
      </c>
      <c r="H59" s="80">
        <f t="shared" si="4"/>
        <v>354849.39599999803</v>
      </c>
    </row>
    <row r="60" spans="1:11" s="22" customFormat="1" ht="13.5" customHeight="1">
      <c r="A60" s="241" t="s">
        <v>232</v>
      </c>
      <c r="B60" s="36"/>
      <c r="C60" s="24">
        <f>+C32+SUM(C12:C14)-C52</f>
        <v>6281692.7599999905</v>
      </c>
      <c r="D60" s="24">
        <f t="shared" ref="D60:G60" si="7">+D32+SUM(D12:D14)-D52</f>
        <v>7769382</v>
      </c>
      <c r="E60" s="24">
        <f t="shared" si="7"/>
        <v>495990</v>
      </c>
      <c r="F60" s="24">
        <f t="shared" si="7"/>
        <v>1290319</v>
      </c>
      <c r="G60" s="24">
        <f t="shared" si="7"/>
        <v>0</v>
      </c>
      <c r="H60" s="80">
        <f t="shared" si="4"/>
        <v>3167476.751999998</v>
      </c>
    </row>
    <row r="61" spans="1:11" s="22" customFormat="1" ht="13.5" customHeight="1">
      <c r="A61" s="241" t="s">
        <v>240</v>
      </c>
      <c r="B61" s="36"/>
      <c r="C61" s="24">
        <f>+C32+SUM(C12:C14)-C52-C54</f>
        <v>4819753.7599999905</v>
      </c>
      <c r="D61" s="24">
        <f t="shared" ref="D61:G61" si="8">+D32+SUM(D12:D14)-D52-D54</f>
        <v>4322856</v>
      </c>
      <c r="E61" s="24">
        <f t="shared" si="8"/>
        <v>-522744</v>
      </c>
      <c r="F61" s="24">
        <f t="shared" si="8"/>
        <v>-334531</v>
      </c>
      <c r="G61" s="24">
        <f t="shared" si="8"/>
        <v>0</v>
      </c>
      <c r="H61" s="80">
        <f t="shared" si="4"/>
        <v>1657066.9519999982</v>
      </c>
    </row>
    <row r="62" spans="1:11" s="22" customFormat="1" ht="13.5" customHeight="1">
      <c r="A62" s="241" t="s">
        <v>233</v>
      </c>
      <c r="B62" s="36"/>
      <c r="C62" s="24">
        <f>+C32+SUM(C12:C14)-C52-SUM(C54:C56)</f>
        <v>1185711.9799999902</v>
      </c>
      <c r="D62" s="24">
        <f t="shared" ref="D62:G62" si="9">+D32+SUM(D12:D14)-D52-SUM(D54:D56)</f>
        <v>3713380</v>
      </c>
      <c r="E62" s="24">
        <f t="shared" si="9"/>
        <v>-522744</v>
      </c>
      <c r="F62" s="24">
        <f t="shared" si="9"/>
        <v>-2602104</v>
      </c>
      <c r="G62" s="24">
        <f t="shared" si="9"/>
        <v>0</v>
      </c>
      <c r="H62" s="80">
        <f t="shared" si="4"/>
        <v>354848.79599999805</v>
      </c>
      <c r="I62" s="34">
        <f>SUM(C62:D62)</f>
        <v>4899091.9799999902</v>
      </c>
    </row>
    <row r="63" spans="1:11" ht="13.5" customHeight="1">
      <c r="A63" s="266" t="s">
        <v>228</v>
      </c>
      <c r="B63" s="99"/>
      <c r="C63" s="38"/>
      <c r="D63" s="38"/>
      <c r="E63" s="38"/>
      <c r="F63" s="38"/>
      <c r="G63" s="39"/>
      <c r="H63" s="95"/>
    </row>
    <row r="64" spans="1:11" ht="13.5" customHeight="1">
      <c r="A64" s="266"/>
      <c r="B64" s="25" t="s">
        <v>40</v>
      </c>
      <c r="C64" s="16">
        <v>9272809</v>
      </c>
      <c r="D64" s="31">
        <v>46800299</v>
      </c>
      <c r="E64" s="31">
        <v>3196371</v>
      </c>
      <c r="F64" s="31">
        <v>2603383</v>
      </c>
      <c r="G64" s="17"/>
      <c r="H64" s="95">
        <f>SUM(C64:G64)/5</f>
        <v>12374572.4</v>
      </c>
    </row>
    <row r="65" spans="1:8" ht="13.5" customHeight="1">
      <c r="A65" s="266"/>
      <c r="B65" s="25" t="s">
        <v>234</v>
      </c>
      <c r="C65" s="16">
        <v>-26330586</v>
      </c>
      <c r="D65" s="31">
        <v>-12231299</v>
      </c>
      <c r="E65" s="31">
        <v>0</v>
      </c>
      <c r="F65" s="31">
        <v>-38479257</v>
      </c>
      <c r="G65" s="17"/>
      <c r="H65" s="95"/>
    </row>
    <row r="66" spans="1:8" ht="13.5" customHeight="1">
      <c r="A66" s="266"/>
      <c r="B66" s="25" t="s">
        <v>41</v>
      </c>
      <c r="C66" s="16">
        <v>198986</v>
      </c>
      <c r="D66" s="31">
        <v>563003</v>
      </c>
      <c r="E66" s="17">
        <v>0</v>
      </c>
      <c r="F66" s="31">
        <v>200000</v>
      </c>
      <c r="G66" s="17"/>
      <c r="H66" s="95">
        <f>MAX(C64:G64)</f>
        <v>46800299</v>
      </c>
    </row>
    <row r="67" spans="1:8" s="40" customFormat="1" ht="13.5" customHeight="1">
      <c r="A67" s="266"/>
      <c r="B67" s="25" t="s">
        <v>42</v>
      </c>
      <c r="C67" s="16">
        <v>20143849</v>
      </c>
      <c r="D67" s="31">
        <v>49209922</v>
      </c>
      <c r="E67" s="31">
        <v>9328172</v>
      </c>
      <c r="F67" s="31">
        <v>13849360</v>
      </c>
      <c r="G67" s="17"/>
      <c r="H67" s="131">
        <f>MIN(C64:G64)</f>
        <v>2603383</v>
      </c>
    </row>
    <row r="68" spans="1:8" s="22" customFormat="1" ht="13.5" customHeight="1">
      <c r="A68" s="241"/>
      <c r="B68" s="41" t="s">
        <v>43</v>
      </c>
      <c r="C68" s="21">
        <f>SUM(C64:C67)</f>
        <v>3285058</v>
      </c>
      <c r="D68" s="21">
        <f>SUM(D64:D67)</f>
        <v>84341925</v>
      </c>
      <c r="E68" s="21">
        <f>SUM(E64:E67)</f>
        <v>12524543</v>
      </c>
      <c r="F68" s="21">
        <f>SUM(F64:F67)</f>
        <v>-21826514</v>
      </c>
      <c r="G68" s="122">
        <f>SUM(G64:G67)</f>
        <v>0</v>
      </c>
      <c r="H68" s="132">
        <f>SUM(C68:D68)</f>
        <v>87626983</v>
      </c>
    </row>
    <row r="69" spans="1:8" s="45" customFormat="1" ht="13.5" customHeight="1">
      <c r="A69" s="272" t="s">
        <v>187</v>
      </c>
      <c r="B69" s="195"/>
      <c r="C69" s="271">
        <f>C64/(C52-C53)</f>
        <v>0.12369539684219023</v>
      </c>
      <c r="D69" s="271">
        <f>D64/(D52)</f>
        <v>1.1146974419643512</v>
      </c>
      <c r="E69" s="271">
        <f>E64/(E52-E33)</f>
        <v>0.12786044028728458</v>
      </c>
      <c r="F69" s="271">
        <f>F64/(F52)</f>
        <v>9.4436488634428717E-2</v>
      </c>
      <c r="G69" s="280" t="e">
        <f>G64/(G52)</f>
        <v>#DIV/0!</v>
      </c>
      <c r="H69" s="44" t="e">
        <f>AVERAGE(C69:G69)</f>
        <v>#DIV/0!</v>
      </c>
    </row>
    <row r="70" spans="1:8">
      <c r="A70" s="68"/>
      <c r="B70" s="59" t="s">
        <v>85</v>
      </c>
      <c r="C70" s="123">
        <f>+C10+C12+C13+C14+C32-C52-C54-C68+C53-C55-C56</f>
        <v>6.9799999902024865</v>
      </c>
      <c r="D70" s="102">
        <f>+D10+D12+D13+D14+D32-D52-D54-D68-D55-D56</f>
        <v>1</v>
      </c>
      <c r="E70" s="102">
        <f>+E10+E12+E13+E14+E32-E52-E54-E68-E55-E56</f>
        <v>0</v>
      </c>
      <c r="F70" s="102">
        <f>+F10+F12+F13+F14+F32-F52-F54-F68-F55-F56</f>
        <v>0</v>
      </c>
      <c r="G70" s="102">
        <f>+G10+G12+G13+G14+G32-G52-G54-G68-G55-G56</f>
        <v>0</v>
      </c>
      <c r="H70" s="118" t="e">
        <f>MAX(C69:G69)</f>
        <v>#DIV/0!</v>
      </c>
    </row>
    <row r="71" spans="1:8">
      <c r="A71" s="355"/>
      <c r="B71" s="355"/>
      <c r="C71" s="123">
        <f>+C10+C62+C53-C68</f>
        <v>6.9799999902024865</v>
      </c>
      <c r="D71" s="102">
        <f>+D10+D62+D53-D68</f>
        <v>1</v>
      </c>
      <c r="E71" s="102">
        <f>+E10+E62+E53-E68</f>
        <v>0</v>
      </c>
      <c r="F71" s="102">
        <f>+F10+F62+F53-F68</f>
        <v>0</v>
      </c>
      <c r="G71" s="102">
        <f>+G10+G62+G53-G68</f>
        <v>0</v>
      </c>
      <c r="H71" s="118" t="e">
        <f>MIN(C69:G69)</f>
        <v>#DIV/0!</v>
      </c>
    </row>
    <row r="72" spans="1:8" ht="13.5" customHeight="1">
      <c r="A72" s="181"/>
      <c r="B72" s="181"/>
      <c r="C72" s="123"/>
      <c r="D72" s="123"/>
      <c r="E72" s="102"/>
      <c r="F72" s="102"/>
      <c r="G72" s="69"/>
      <c r="H72" s="118"/>
    </row>
    <row r="73" spans="1:8" ht="13.5" customHeight="1">
      <c r="A73" s="180" t="s">
        <v>195</v>
      </c>
      <c r="B73" s="174"/>
      <c r="C73" s="52"/>
      <c r="D73" s="52"/>
      <c r="E73" s="102"/>
      <c r="F73" s="102"/>
      <c r="G73" s="83"/>
      <c r="H73" s="118"/>
    </row>
    <row r="74" spans="1:8" ht="12.75" customHeight="1">
      <c r="A74" s="177" t="s">
        <v>196</v>
      </c>
      <c r="B74" s="174"/>
      <c r="C74" s="52"/>
      <c r="D74" s="52"/>
    </row>
    <row r="75" spans="1:8" ht="12.75" customHeight="1">
      <c r="A75" s="178" t="s">
        <v>86</v>
      </c>
      <c r="B75" s="175"/>
      <c r="C75" s="134"/>
      <c r="D75" s="134"/>
    </row>
    <row r="76" spans="1:8">
      <c r="A76" s="179"/>
      <c r="B76" s="50"/>
      <c r="C76" s="50"/>
      <c r="D76" s="50"/>
    </row>
    <row r="77" spans="1:8" ht="12.75" customHeight="1">
      <c r="A77" s="177" t="s">
        <v>197</v>
      </c>
      <c r="B77" s="174"/>
      <c r="C77" s="52"/>
      <c r="D77" s="52"/>
    </row>
    <row r="78" spans="1:8" ht="12.75" customHeight="1">
      <c r="A78" s="177" t="s">
        <v>87</v>
      </c>
      <c r="B78" s="174"/>
      <c r="C78" s="52"/>
      <c r="D78" s="52"/>
    </row>
    <row r="79" spans="1:8" ht="12.75" customHeight="1">
      <c r="A79" s="177" t="s">
        <v>88</v>
      </c>
      <c r="B79" s="176"/>
      <c r="C79" s="136"/>
      <c r="D79" s="136"/>
    </row>
    <row r="81" spans="1:9">
      <c r="A81" s="343"/>
      <c r="B81" s="344"/>
      <c r="C81" s="260"/>
      <c r="D81" s="260"/>
      <c r="E81" s="260"/>
      <c r="F81" s="260"/>
      <c r="G81" s="260"/>
    </row>
    <row r="82" spans="1:9" ht="70.5" customHeight="1">
      <c r="A82" s="345"/>
      <c r="B82" s="346"/>
      <c r="C82" s="256" t="str">
        <f>C2</f>
        <v>22nd DAA, 
San Diego County Fair</v>
      </c>
      <c r="D82" s="256" t="str">
        <f>D2</f>
        <v>32nd DAA, Orange County Fair</v>
      </c>
      <c r="E82" s="256" t="str">
        <f>E2</f>
        <v>Alameda County Fair</v>
      </c>
      <c r="F82" s="256" t="str">
        <f>F2</f>
        <v>California Exposition and State Fair 
(Cal Expo)</v>
      </c>
      <c r="G82" s="256" t="str">
        <f>G2</f>
        <v>Los Angeles County Fair</v>
      </c>
    </row>
    <row r="83" spans="1:9" ht="13.5" customHeight="1">
      <c r="A83" s="262" t="s">
        <v>89</v>
      </c>
      <c r="B83" s="29"/>
      <c r="C83" s="54"/>
      <c r="D83" s="54"/>
      <c r="E83" s="54"/>
      <c r="F83" s="54"/>
      <c r="G83" s="54"/>
    </row>
    <row r="84" spans="1:9" ht="13.5" customHeight="1">
      <c r="A84" s="262" t="s">
        <v>90</v>
      </c>
      <c r="B84" s="29"/>
      <c r="C84" s="54"/>
      <c r="D84" s="54"/>
      <c r="E84" s="54"/>
      <c r="F84" s="54"/>
      <c r="G84" s="54"/>
    </row>
    <row r="85" spans="1:9" ht="13.5" customHeight="1">
      <c r="A85" s="267"/>
      <c r="B85" s="29" t="s">
        <v>91</v>
      </c>
      <c r="C85" s="30"/>
      <c r="D85" s="30"/>
      <c r="E85" s="30"/>
      <c r="F85" s="30"/>
      <c r="G85" s="30"/>
    </row>
    <row r="86" spans="1:9" ht="13.5" customHeight="1">
      <c r="A86" s="267"/>
      <c r="B86" s="29" t="s">
        <v>92</v>
      </c>
      <c r="C86" s="14">
        <v>11872653</v>
      </c>
      <c r="D86" s="14">
        <v>0</v>
      </c>
      <c r="E86" s="14">
        <v>-93193</v>
      </c>
      <c r="F86" s="14">
        <v>200000</v>
      </c>
      <c r="G86" s="14"/>
      <c r="I86" s="56">
        <f t="shared" ref="I86:I96" si="10">SUM(C86:D86)</f>
        <v>11872653</v>
      </c>
    </row>
    <row r="87" spans="1:9" ht="13.5" customHeight="1">
      <c r="A87" s="267"/>
      <c r="B87" s="29" t="s">
        <v>93</v>
      </c>
      <c r="C87" s="30">
        <v>13112135</v>
      </c>
      <c r="D87" s="30">
        <v>50230751</v>
      </c>
      <c r="E87" s="30">
        <v>3993439.9699999997</v>
      </c>
      <c r="F87" s="30">
        <v>7039602</v>
      </c>
      <c r="G87" s="30"/>
      <c r="I87" s="56">
        <f t="shared" si="10"/>
        <v>63342886</v>
      </c>
    </row>
    <row r="88" spans="1:9" ht="13.5" customHeight="1">
      <c r="A88" s="267"/>
      <c r="B88" s="29" t="s">
        <v>94</v>
      </c>
      <c r="C88" s="30">
        <v>1007648</v>
      </c>
      <c r="D88" s="30">
        <v>962154</v>
      </c>
      <c r="E88" s="30">
        <v>1212398.4300000002</v>
      </c>
      <c r="F88" s="30">
        <v>16650839</v>
      </c>
      <c r="G88" s="30"/>
      <c r="I88" s="56">
        <f t="shared" si="10"/>
        <v>1969802</v>
      </c>
    </row>
    <row r="89" spans="1:9" ht="13.5" customHeight="1">
      <c r="A89" s="267"/>
      <c r="B89" s="29" t="s">
        <v>95</v>
      </c>
      <c r="C89" s="30">
        <v>389113</v>
      </c>
      <c r="D89" s="30">
        <v>140471</v>
      </c>
      <c r="E89" s="30">
        <v>106472.02</v>
      </c>
      <c r="F89" s="30">
        <v>296222</v>
      </c>
      <c r="G89" s="30"/>
      <c r="I89" s="56">
        <f t="shared" si="10"/>
        <v>529584</v>
      </c>
    </row>
    <row r="90" spans="1:9" ht="13.5" customHeight="1">
      <c r="A90" s="267"/>
      <c r="B90" s="29" t="s">
        <v>96</v>
      </c>
      <c r="C90" s="30">
        <v>197732</v>
      </c>
      <c r="D90" s="30">
        <v>0</v>
      </c>
      <c r="E90" s="30">
        <v>0</v>
      </c>
      <c r="F90" s="30">
        <v>0</v>
      </c>
      <c r="G90" s="30"/>
      <c r="I90" s="56">
        <f t="shared" si="10"/>
        <v>197732</v>
      </c>
    </row>
    <row r="91" spans="1:9" ht="13.5" customHeight="1">
      <c r="A91" s="267"/>
      <c r="B91" s="29" t="s">
        <v>97</v>
      </c>
      <c r="C91" s="30">
        <v>1794192</v>
      </c>
      <c r="D91" s="30">
        <v>140946</v>
      </c>
      <c r="E91" s="30">
        <v>2753384.73</v>
      </c>
      <c r="F91" s="30">
        <v>141530</v>
      </c>
      <c r="G91" s="30"/>
      <c r="I91" s="20">
        <f>SUM(C91:D91)</f>
        <v>1935138</v>
      </c>
    </row>
    <row r="92" spans="1:9" ht="13.5" customHeight="1">
      <c r="A92" s="267"/>
      <c r="B92" s="29" t="s">
        <v>98</v>
      </c>
      <c r="C92" s="30">
        <v>5512697</v>
      </c>
      <c r="D92" s="30">
        <v>133553</v>
      </c>
      <c r="E92" s="30">
        <v>1375291</v>
      </c>
      <c r="F92" s="30">
        <v>1643577</v>
      </c>
      <c r="G92" s="30"/>
      <c r="I92" s="10">
        <f t="shared" si="10"/>
        <v>5646250</v>
      </c>
    </row>
    <row r="93" spans="1:9" ht="13.5" customHeight="1">
      <c r="A93" s="267"/>
      <c r="B93" s="29" t="s">
        <v>99</v>
      </c>
      <c r="C93" s="30">
        <v>48090523</v>
      </c>
      <c r="D93" s="30">
        <v>95875663</v>
      </c>
      <c r="E93" s="30">
        <v>19671760.629999999</v>
      </c>
      <c r="F93" s="30">
        <v>77415369</v>
      </c>
      <c r="G93" s="30"/>
      <c r="I93" s="10">
        <f t="shared" si="10"/>
        <v>143966186</v>
      </c>
    </row>
    <row r="94" spans="1:9" ht="13.5" customHeight="1">
      <c r="A94" s="267"/>
      <c r="B94" s="29" t="s">
        <v>100</v>
      </c>
      <c r="C94" s="30">
        <v>11166135</v>
      </c>
      <c r="D94" s="30">
        <v>7509743</v>
      </c>
      <c r="E94" s="30">
        <v>9171667.7000000011</v>
      </c>
      <c r="F94" s="30">
        <v>6334256</v>
      </c>
      <c r="G94" s="30"/>
      <c r="I94" s="10">
        <f t="shared" si="10"/>
        <v>18675878</v>
      </c>
    </row>
    <row r="95" spans="1:9" ht="13.5" customHeight="1">
      <c r="A95" s="267"/>
      <c r="B95" s="29" t="s">
        <v>101</v>
      </c>
      <c r="C95" s="30">
        <v>7534604</v>
      </c>
      <c r="D95" s="30">
        <v>0</v>
      </c>
      <c r="E95" s="30">
        <v>10914492.939999999</v>
      </c>
      <c r="F95" s="30">
        <v>0</v>
      </c>
      <c r="G95" s="30"/>
      <c r="I95" s="10">
        <f t="shared" si="10"/>
        <v>7534604</v>
      </c>
    </row>
    <row r="96" spans="1:9" ht="13.5" customHeight="1">
      <c r="A96" s="267"/>
      <c r="B96" s="29" t="s">
        <v>182</v>
      </c>
      <c r="C96" s="30">
        <v>0</v>
      </c>
      <c r="D96" s="30">
        <v>0</v>
      </c>
      <c r="E96" s="30">
        <v>0</v>
      </c>
      <c r="F96" s="30">
        <v>0</v>
      </c>
      <c r="G96" s="30"/>
      <c r="I96" s="10">
        <f t="shared" si="10"/>
        <v>0</v>
      </c>
    </row>
    <row r="97" spans="1:9" ht="13.5" customHeight="1">
      <c r="A97" s="267"/>
      <c r="B97" s="29" t="s">
        <v>102</v>
      </c>
      <c r="C97" s="30">
        <f>-38187434.41-6393223.48-1708451.94-812932.66-6852259.16</f>
        <v>-53954301.649999991</v>
      </c>
      <c r="D97" s="30">
        <f>-47342564-7107419</f>
        <v>-54449983</v>
      </c>
      <c r="E97" s="30">
        <f>-17170456.19-1623536.11+-121897.46+-5499329.93-9183629.13</f>
        <v>-33598848.82</v>
      </c>
      <c r="F97" s="30">
        <f>-66284520-5315373</f>
        <v>-71599893</v>
      </c>
      <c r="G97" s="30"/>
      <c r="I97" s="20">
        <f>SUM(C91:D97)</f>
        <v>69353771.350000009</v>
      </c>
    </row>
    <row r="98" spans="1:9" ht="13.5" customHeight="1">
      <c r="A98" s="267"/>
      <c r="B98" s="29" t="s">
        <v>103</v>
      </c>
      <c r="C98" s="30">
        <v>0</v>
      </c>
      <c r="D98" s="30">
        <v>0</v>
      </c>
      <c r="E98" s="30">
        <v>0</v>
      </c>
      <c r="F98" s="30">
        <v>0</v>
      </c>
      <c r="G98" s="30"/>
    </row>
    <row r="99" spans="1:9" s="22" customFormat="1" ht="13.5" customHeight="1">
      <c r="A99" s="250" t="s">
        <v>104</v>
      </c>
      <c r="B99" s="23"/>
      <c r="C99" s="24">
        <f>SUM(C85:C98)</f>
        <v>46723130.350000009</v>
      </c>
      <c r="D99" s="24">
        <f t="shared" ref="D99:F99" si="11">SUM(D85:D98)</f>
        <v>100543298</v>
      </c>
      <c r="E99" s="24">
        <f t="shared" si="11"/>
        <v>15506865.600000001</v>
      </c>
      <c r="F99" s="24">
        <f t="shared" si="11"/>
        <v>38121502</v>
      </c>
      <c r="G99" s="24">
        <f t="shared" ref="G99" si="12">SUM(G85:G98)</f>
        <v>0</v>
      </c>
      <c r="I99" s="10">
        <f t="shared" ref="I99:I100" si="13">SUM(C99:D99)</f>
        <v>147266428.35000002</v>
      </c>
    </row>
    <row r="100" spans="1:9" s="22" customFormat="1" ht="13.5" customHeight="1">
      <c r="A100" s="250" t="s">
        <v>205</v>
      </c>
      <c r="B100" s="23"/>
      <c r="C100" s="24">
        <v>5082739</v>
      </c>
      <c r="D100" s="24">
        <v>5488718</v>
      </c>
      <c r="E100" s="24">
        <v>0</v>
      </c>
      <c r="F100" s="24">
        <f>8027099+816345</f>
        <v>8843444</v>
      </c>
      <c r="G100" s="24"/>
      <c r="I100" s="10">
        <f t="shared" si="13"/>
        <v>10571457</v>
      </c>
    </row>
    <row r="101" spans="1:9" s="45" customFormat="1" ht="13.5" customHeight="1">
      <c r="A101" s="272" t="s">
        <v>202</v>
      </c>
      <c r="B101" s="195"/>
      <c r="C101" s="196">
        <f>+C99+C100</f>
        <v>51805869.350000009</v>
      </c>
      <c r="D101" s="196">
        <f t="shared" ref="D101:F101" si="14">+D99+D100</f>
        <v>106032016</v>
      </c>
      <c r="E101" s="196">
        <f t="shared" si="14"/>
        <v>15506865.600000001</v>
      </c>
      <c r="F101" s="196">
        <f t="shared" si="14"/>
        <v>46964946</v>
      </c>
      <c r="G101" s="196">
        <f t="shared" ref="G101" si="15">+G99+G100</f>
        <v>0</v>
      </c>
      <c r="I101" s="197">
        <f>SUM(C101:D101)</f>
        <v>157837885.35000002</v>
      </c>
    </row>
    <row r="102" spans="1:9" ht="13.5" customHeight="1">
      <c r="A102" s="262" t="s">
        <v>203</v>
      </c>
      <c r="B102" s="29"/>
      <c r="C102" s="53"/>
      <c r="D102" s="54"/>
      <c r="E102" s="54"/>
      <c r="F102" s="54"/>
      <c r="G102" s="54"/>
    </row>
    <row r="103" spans="1:9" ht="13.5" customHeight="1">
      <c r="A103" s="267"/>
      <c r="B103" s="29" t="s">
        <v>105</v>
      </c>
      <c r="C103" s="18">
        <v>0</v>
      </c>
      <c r="D103" s="30">
        <v>0</v>
      </c>
      <c r="E103" s="30">
        <v>0</v>
      </c>
      <c r="F103" s="30">
        <v>0</v>
      </c>
      <c r="G103" s="54"/>
      <c r="I103" s="56">
        <f t="shared" ref="I103:I124" si="16">SUM(C103:D103)</f>
        <v>0</v>
      </c>
    </row>
    <row r="104" spans="1:9" ht="13.5" customHeight="1">
      <c r="A104" s="267"/>
      <c r="B104" s="29" t="s">
        <v>106</v>
      </c>
      <c r="C104" s="18">
        <v>1045898</v>
      </c>
      <c r="D104" s="30">
        <v>1231159</v>
      </c>
      <c r="E104" s="30">
        <v>1196963.07</v>
      </c>
      <c r="F104" s="30">
        <v>1299262</v>
      </c>
      <c r="G104" s="30"/>
      <c r="I104" s="56">
        <f t="shared" si="16"/>
        <v>2277057</v>
      </c>
    </row>
    <row r="105" spans="1:9" ht="13.5" customHeight="1">
      <c r="A105" s="267"/>
      <c r="B105" s="29" t="s">
        <v>107</v>
      </c>
      <c r="C105" s="18">
        <v>691632</v>
      </c>
      <c r="D105" s="30">
        <v>624393</v>
      </c>
      <c r="E105" s="30">
        <v>112323.09000000001</v>
      </c>
      <c r="F105" s="30">
        <v>541562</v>
      </c>
      <c r="G105" s="30"/>
      <c r="I105" s="56">
        <f t="shared" si="16"/>
        <v>1316025</v>
      </c>
    </row>
    <row r="106" spans="1:9" ht="13.5" customHeight="1">
      <c r="A106" s="267"/>
      <c r="B106" s="29" t="s">
        <v>108</v>
      </c>
      <c r="C106" s="18">
        <v>1036895</v>
      </c>
      <c r="D106" s="30">
        <v>890628</v>
      </c>
      <c r="E106" s="30">
        <v>145187.65</v>
      </c>
      <c r="F106" s="30">
        <v>15205795</v>
      </c>
      <c r="G106" s="30"/>
      <c r="I106" s="56">
        <f t="shared" si="16"/>
        <v>1927523</v>
      </c>
    </row>
    <row r="107" spans="1:9" ht="13.5" customHeight="1">
      <c r="A107" s="267"/>
      <c r="B107" s="29" t="s">
        <v>109</v>
      </c>
      <c r="C107" s="18">
        <v>1396687</v>
      </c>
      <c r="D107" s="30">
        <v>0</v>
      </c>
      <c r="E107" s="30">
        <v>-165.42</v>
      </c>
      <c r="F107" s="30">
        <v>200000</v>
      </c>
      <c r="G107" s="30"/>
      <c r="I107" s="56">
        <f t="shared" si="16"/>
        <v>1396687</v>
      </c>
    </row>
    <row r="108" spans="1:9" ht="13.5" customHeight="1">
      <c r="A108" s="267"/>
      <c r="B108" s="29" t="s">
        <v>110</v>
      </c>
      <c r="C108" s="18">
        <v>0</v>
      </c>
      <c r="D108" s="30">
        <v>151300</v>
      </c>
      <c r="E108" s="30">
        <v>249954.05</v>
      </c>
      <c r="F108" s="30">
        <v>602541</v>
      </c>
      <c r="G108" s="30"/>
      <c r="I108" s="56">
        <f t="shared" si="16"/>
        <v>151300</v>
      </c>
    </row>
    <row r="109" spans="1:9" ht="13.5" customHeight="1">
      <c r="A109" s="267"/>
      <c r="B109" s="29" t="s">
        <v>111</v>
      </c>
      <c r="C109" s="18">
        <v>3087387</v>
      </c>
      <c r="D109" s="30">
        <v>1078416</v>
      </c>
      <c r="E109" s="30">
        <v>302868.03999999998</v>
      </c>
      <c r="F109" s="30">
        <v>1529394</v>
      </c>
      <c r="G109" s="30"/>
      <c r="I109" s="56">
        <f t="shared" si="16"/>
        <v>4165803</v>
      </c>
    </row>
    <row r="110" spans="1:9" ht="13.5" customHeight="1">
      <c r="A110" s="267"/>
      <c r="B110" s="29" t="s">
        <v>112</v>
      </c>
      <c r="C110" s="18">
        <v>9650000</v>
      </c>
      <c r="D110" s="30">
        <v>0</v>
      </c>
      <c r="E110" s="30">
        <v>959576.43</v>
      </c>
      <c r="F110" s="30">
        <v>2090205</v>
      </c>
      <c r="G110" s="30"/>
      <c r="I110" s="56">
        <f t="shared" si="16"/>
        <v>9650000</v>
      </c>
    </row>
    <row r="111" spans="1:9" ht="13.5" customHeight="1">
      <c r="A111" s="267"/>
      <c r="B111" s="29" t="s">
        <v>208</v>
      </c>
      <c r="C111" s="18">
        <v>31413325</v>
      </c>
      <c r="D111" s="30">
        <v>17556172</v>
      </c>
      <c r="E111" s="30">
        <v>0</v>
      </c>
      <c r="F111" s="30">
        <f>16405684</f>
        <v>16405684</v>
      </c>
      <c r="G111" s="30"/>
      <c r="I111" s="56">
        <f t="shared" si="16"/>
        <v>48969497</v>
      </c>
    </row>
    <row r="112" spans="1:9" ht="13.5" customHeight="1">
      <c r="A112" s="267"/>
      <c r="B112" s="29" t="s">
        <v>238</v>
      </c>
      <c r="C112" s="18"/>
      <c r="D112" s="30"/>
      <c r="E112" s="30"/>
      <c r="F112" s="30">
        <v>27767000</v>
      </c>
      <c r="G112" s="30"/>
      <c r="I112" s="56">
        <f t="shared" si="16"/>
        <v>0</v>
      </c>
    </row>
    <row r="113" spans="1:9" s="22" customFormat="1" ht="13.5" customHeight="1">
      <c r="A113" s="250" t="s">
        <v>207</v>
      </c>
      <c r="B113" s="23"/>
      <c r="C113" s="24">
        <f>SUM(C103:C112)</f>
        <v>48321824</v>
      </c>
      <c r="D113" s="24">
        <f t="shared" ref="D113:F113" si="17">SUM(D103:D112)</f>
        <v>21532068</v>
      </c>
      <c r="E113" s="24">
        <f t="shared" si="17"/>
        <v>2966706.91</v>
      </c>
      <c r="F113" s="24">
        <f t="shared" si="17"/>
        <v>65641443</v>
      </c>
      <c r="G113" s="24">
        <f>SUM(G103:G112)</f>
        <v>0</v>
      </c>
      <c r="I113" s="197">
        <f t="shared" si="16"/>
        <v>69853892</v>
      </c>
    </row>
    <row r="114" spans="1:9" s="22" customFormat="1" ht="13.5" customHeight="1">
      <c r="A114" s="250" t="s">
        <v>206</v>
      </c>
      <c r="B114" s="23"/>
      <c r="C114" s="24">
        <v>0</v>
      </c>
      <c r="D114" s="24">
        <v>163845</v>
      </c>
      <c r="E114" s="24">
        <v>0</v>
      </c>
      <c r="F114" s="24">
        <f>229017+2921000</f>
        <v>3150017</v>
      </c>
      <c r="G114" s="24"/>
      <c r="I114" s="197">
        <f t="shared" si="16"/>
        <v>163845</v>
      </c>
    </row>
    <row r="115" spans="1:9" s="45" customFormat="1" ht="13.5" customHeight="1">
      <c r="A115" s="272" t="s">
        <v>204</v>
      </c>
      <c r="B115" s="195"/>
      <c r="C115" s="196">
        <f>+C113+C114</f>
        <v>48321824</v>
      </c>
      <c r="D115" s="196">
        <f t="shared" ref="D115:F115" si="18">+D113+D114</f>
        <v>21695913</v>
      </c>
      <c r="E115" s="196">
        <f t="shared" si="18"/>
        <v>2966706.91</v>
      </c>
      <c r="F115" s="196">
        <f t="shared" si="18"/>
        <v>68791460</v>
      </c>
      <c r="G115" s="196">
        <f t="shared" ref="G115" si="19">+G113+G114</f>
        <v>0</v>
      </c>
      <c r="I115" s="197">
        <f t="shared" si="16"/>
        <v>70017737</v>
      </c>
    </row>
    <row r="116" spans="1:9" ht="13.5" customHeight="1">
      <c r="A116" s="262" t="s">
        <v>113</v>
      </c>
      <c r="B116" s="29"/>
      <c r="C116" s="53"/>
      <c r="D116" s="54"/>
      <c r="E116" s="54"/>
      <c r="F116" s="54"/>
      <c r="G116" s="54"/>
      <c r="I116" s="56">
        <f t="shared" si="16"/>
        <v>0</v>
      </c>
    </row>
    <row r="117" spans="1:9" ht="13.5" customHeight="1">
      <c r="A117" s="267"/>
      <c r="B117" s="29" t="s">
        <v>114</v>
      </c>
      <c r="C117" s="18">
        <v>198986</v>
      </c>
      <c r="D117" s="30">
        <v>-5822</v>
      </c>
      <c r="E117" s="30">
        <v>15616</v>
      </c>
      <c r="F117" s="30">
        <v>0</v>
      </c>
      <c r="G117" s="18"/>
      <c r="I117" s="56">
        <f t="shared" si="16"/>
        <v>193164</v>
      </c>
    </row>
    <row r="118" spans="1:9" ht="13.5" customHeight="1">
      <c r="A118" s="267"/>
      <c r="B118" s="29" t="s">
        <v>40</v>
      </c>
      <c r="C118" s="18">
        <f>C64</f>
        <v>9272809</v>
      </c>
      <c r="D118" s="18">
        <f t="shared" ref="D118:F118" si="20">D64</f>
        <v>46800299</v>
      </c>
      <c r="E118" s="18">
        <f t="shared" si="20"/>
        <v>3196371</v>
      </c>
      <c r="F118" s="18">
        <f t="shared" si="20"/>
        <v>2603383</v>
      </c>
      <c r="G118" s="30">
        <f t="shared" ref="G118" si="21">G64</f>
        <v>0</v>
      </c>
      <c r="I118" s="56">
        <f t="shared" si="16"/>
        <v>56073108</v>
      </c>
    </row>
    <row r="119" spans="1:9" ht="13.5" customHeight="1">
      <c r="A119" s="267"/>
      <c r="B119" s="29" t="s">
        <v>234</v>
      </c>
      <c r="C119" s="18">
        <f t="shared" ref="C119:F119" si="22">C65</f>
        <v>-26330586</v>
      </c>
      <c r="D119" s="18">
        <f t="shared" si="22"/>
        <v>-12231299</v>
      </c>
      <c r="E119" s="18">
        <f t="shared" si="22"/>
        <v>0</v>
      </c>
      <c r="F119" s="18">
        <f t="shared" si="22"/>
        <v>-38479257</v>
      </c>
      <c r="G119" s="30">
        <f t="shared" ref="G119" si="23">G65</f>
        <v>0</v>
      </c>
      <c r="I119" s="56">
        <f t="shared" si="16"/>
        <v>-38561885</v>
      </c>
    </row>
    <row r="120" spans="1:9" ht="13.5" customHeight="1">
      <c r="A120" s="267"/>
      <c r="B120" s="29" t="s">
        <v>41</v>
      </c>
      <c r="C120" s="18">
        <f t="shared" ref="C120:F120" si="24">C66</f>
        <v>198986</v>
      </c>
      <c r="D120" s="18">
        <f t="shared" si="24"/>
        <v>563003</v>
      </c>
      <c r="E120" s="18">
        <f t="shared" si="24"/>
        <v>0</v>
      </c>
      <c r="F120" s="18">
        <f t="shared" si="24"/>
        <v>200000</v>
      </c>
      <c r="G120" s="30">
        <f t="shared" ref="G120" si="25">G66</f>
        <v>0</v>
      </c>
      <c r="I120" s="56">
        <f t="shared" si="16"/>
        <v>761989</v>
      </c>
    </row>
    <row r="121" spans="1:9" ht="13.5" customHeight="1">
      <c r="A121" s="267"/>
      <c r="B121" s="29" t="s">
        <v>115</v>
      </c>
      <c r="C121" s="18">
        <f t="shared" ref="C121:F121" si="26">C67</f>
        <v>20143849</v>
      </c>
      <c r="D121" s="18">
        <f t="shared" si="26"/>
        <v>49209922</v>
      </c>
      <c r="E121" s="18">
        <f t="shared" si="26"/>
        <v>9328172</v>
      </c>
      <c r="F121" s="18">
        <f t="shared" si="26"/>
        <v>13849360</v>
      </c>
      <c r="G121" s="30">
        <f t="shared" ref="G121" si="27">G67</f>
        <v>0</v>
      </c>
      <c r="I121" s="56">
        <f t="shared" si="16"/>
        <v>69353771</v>
      </c>
    </row>
    <row r="122" spans="1:9" ht="13.5" customHeight="1">
      <c r="A122" s="273"/>
      <c r="B122" s="60" t="s">
        <v>103</v>
      </c>
      <c r="C122" s="61">
        <v>0</v>
      </c>
      <c r="D122" s="62">
        <v>0</v>
      </c>
      <c r="E122" s="62">
        <v>0</v>
      </c>
      <c r="F122" s="62">
        <v>0</v>
      </c>
      <c r="G122" s="62">
        <v>0</v>
      </c>
      <c r="I122" s="56">
        <f t="shared" si="16"/>
        <v>0</v>
      </c>
    </row>
    <row r="123" spans="1:9" s="22" customFormat="1" ht="13.5" customHeight="1">
      <c r="A123" s="250" t="s">
        <v>43</v>
      </c>
      <c r="B123" s="64"/>
      <c r="C123" s="65">
        <f t="shared" ref="C123" si="28">SUM(C117:C122)</f>
        <v>3484044</v>
      </c>
      <c r="D123" s="65">
        <f t="shared" ref="D123:F123" si="29">SUM(D117:D122)</f>
        <v>84336103</v>
      </c>
      <c r="E123" s="65">
        <f t="shared" si="29"/>
        <v>12540159</v>
      </c>
      <c r="F123" s="65">
        <f t="shared" si="29"/>
        <v>-21826514</v>
      </c>
      <c r="G123" s="65">
        <f t="shared" ref="G123" si="30">SUM(G117:G122)</f>
        <v>0</v>
      </c>
      <c r="I123" s="58">
        <f t="shared" si="16"/>
        <v>87820147</v>
      </c>
    </row>
    <row r="124" spans="1:9" s="45" customFormat="1" ht="13.5" customHeight="1">
      <c r="A124" s="272" t="s">
        <v>209</v>
      </c>
      <c r="B124" s="195"/>
      <c r="C124" s="196">
        <f t="shared" ref="C124" si="31">SUM(C115:C122)</f>
        <v>51805868</v>
      </c>
      <c r="D124" s="196">
        <f t="shared" ref="D124:F124" si="32">SUM(D115:D122)</f>
        <v>106032016</v>
      </c>
      <c r="E124" s="196">
        <f t="shared" si="32"/>
        <v>15506865.91</v>
      </c>
      <c r="F124" s="196">
        <f t="shared" si="32"/>
        <v>46964946</v>
      </c>
      <c r="G124" s="196">
        <f t="shared" ref="G124" si="33">SUM(G115:G122)</f>
        <v>0</v>
      </c>
      <c r="I124" s="197">
        <f t="shared" si="16"/>
        <v>157837884</v>
      </c>
    </row>
    <row r="125" spans="1:9">
      <c r="A125" s="68"/>
      <c r="B125" s="59" t="s">
        <v>85</v>
      </c>
      <c r="C125" s="102">
        <f>+C101-C124</f>
        <v>1.3500000089406967</v>
      </c>
      <c r="D125" s="102">
        <f>+D101-D124</f>
        <v>0</v>
      </c>
      <c r="E125" s="102">
        <f>+E101-E124</f>
        <v>-0.30999999865889549</v>
      </c>
      <c r="F125" s="102">
        <f>+F101-F124</f>
        <v>0</v>
      </c>
      <c r="G125" s="83">
        <f>+G101-G124</f>
        <v>0</v>
      </c>
      <c r="H125" s="59"/>
    </row>
    <row r="126" spans="1:9" ht="13.5" customHeight="1">
      <c r="A126" s="59"/>
      <c r="B126" s="90"/>
      <c r="C126" s="92"/>
      <c r="D126" s="92"/>
      <c r="E126" s="92"/>
      <c r="F126" s="92"/>
      <c r="G126" s="92"/>
    </row>
    <row r="127" spans="1:9" ht="39.75" customHeight="1">
      <c r="A127" s="333" t="s">
        <v>116</v>
      </c>
      <c r="B127" s="334"/>
      <c r="C127" s="338">
        <f>C57/(C32)</f>
        <v>7.9281119592831184E-2</v>
      </c>
      <c r="D127" s="338">
        <f>D57/(D32)</f>
        <v>0.15615549718006363</v>
      </c>
      <c r="E127" s="338">
        <f>E57/(E32)</f>
        <v>1.9454482946487914E-2</v>
      </c>
      <c r="F127" s="338">
        <f>F57/(F32)</f>
        <v>4.4712992737234024E-2</v>
      </c>
      <c r="G127" s="338" t="e">
        <f>G57/(G32)</f>
        <v>#DIV/0!</v>
      </c>
    </row>
    <row r="128" spans="1:9" ht="24">
      <c r="A128" s="241"/>
      <c r="B128" s="242" t="s">
        <v>117</v>
      </c>
      <c r="C128" s="338"/>
      <c r="D128" s="338"/>
      <c r="E128" s="338"/>
      <c r="F128" s="338"/>
      <c r="G128" s="338"/>
    </row>
    <row r="129" spans="1:8" ht="14.25">
      <c r="A129" s="243" t="s">
        <v>190</v>
      </c>
      <c r="B129" s="244"/>
      <c r="C129" s="339">
        <f>(SUM(C87:C88))/SUM(C103:C108)</f>
        <v>3.385136385692832</v>
      </c>
      <c r="D129" s="339">
        <f>(SUM(D87:D88))/SUM(D103:D108)</f>
        <v>17.668078813313638</v>
      </c>
      <c r="E129" s="339">
        <f>(SUM(E87:E88))/SUM(E103:E108)</f>
        <v>3.05459903229458</v>
      </c>
      <c r="F129" s="339">
        <f>(SUM(F87:F88))/SUM(F103:F108)</f>
        <v>1.3272580334312651</v>
      </c>
      <c r="G129" s="339" t="e">
        <f>(SUM(G87:G88))/SUM(G103:G108)</f>
        <v>#DIV/0!</v>
      </c>
    </row>
    <row r="130" spans="1:8" ht="36">
      <c r="A130" s="245"/>
      <c r="B130" s="246" t="s">
        <v>191</v>
      </c>
      <c r="C130" s="340"/>
      <c r="D130" s="340"/>
      <c r="E130" s="340"/>
      <c r="F130" s="340"/>
      <c r="G130" s="340"/>
    </row>
    <row r="131" spans="1:8" ht="14.25">
      <c r="A131" s="243" t="s">
        <v>192</v>
      </c>
      <c r="B131" s="244"/>
      <c r="C131" s="339">
        <f>(SUM(C87:C88))/SUM(C103:C109)</f>
        <v>1.9452758759076774</v>
      </c>
      <c r="D131" s="339">
        <f>(SUM(D87:D88))/SUM(D103:D109)</f>
        <v>12.875815916714119</v>
      </c>
      <c r="E131" s="339">
        <f>(SUM(E87:E88))/SUM(E103:E109)</f>
        <v>2.5936721363525903</v>
      </c>
      <c r="F131" s="339">
        <f>(SUM(F87:F88))/SUM(F103:F109)</f>
        <v>1.22250819127165</v>
      </c>
      <c r="G131" s="339" t="e">
        <f>(SUM(G87:G88))/SUM(G103:G109)</f>
        <v>#DIV/0!</v>
      </c>
    </row>
    <row r="132" spans="1:8" ht="24">
      <c r="A132" s="245"/>
      <c r="B132" s="246" t="s">
        <v>193</v>
      </c>
      <c r="C132" s="340"/>
      <c r="D132" s="340"/>
      <c r="E132" s="340"/>
      <c r="F132" s="340"/>
      <c r="G132" s="340"/>
    </row>
    <row r="133" spans="1:8" s="151" customFormat="1" ht="8.1" customHeight="1">
      <c r="A133" s="152"/>
      <c r="B133" s="153"/>
      <c r="C133" s="154"/>
      <c r="D133" s="154"/>
      <c r="E133" s="154"/>
      <c r="F133" s="154"/>
      <c r="G133" s="155"/>
    </row>
    <row r="134" spans="1:8" ht="13.5" customHeight="1">
      <c r="A134" s="248" t="s">
        <v>118</v>
      </c>
      <c r="B134" s="64"/>
      <c r="C134" s="337">
        <f>C115/C101</f>
        <v>0.93274805743608258</v>
      </c>
      <c r="D134" s="337">
        <f>D115/D101</f>
        <v>0.20461662258689867</v>
      </c>
      <c r="E134" s="337">
        <f>E115/E101</f>
        <v>0.19131570405820761</v>
      </c>
      <c r="F134" s="337">
        <f>F115/F101</f>
        <v>1.4647405322258862</v>
      </c>
      <c r="G134" s="337" t="e">
        <f>G115/G101</f>
        <v>#DIV/0!</v>
      </c>
    </row>
    <row r="135" spans="1:8" ht="25.5">
      <c r="A135" s="241"/>
      <c r="B135" s="247" t="s">
        <v>119</v>
      </c>
      <c r="C135" s="337"/>
      <c r="D135" s="337"/>
      <c r="E135" s="337"/>
      <c r="F135" s="337"/>
      <c r="G135" s="337"/>
    </row>
    <row r="136" spans="1:8" ht="13.5" customHeight="1">
      <c r="A136" s="248" t="s">
        <v>120</v>
      </c>
      <c r="B136" s="249"/>
      <c r="C136" s="337">
        <f>C123/C101</f>
        <v>6.7251916505093823E-2</v>
      </c>
      <c r="D136" s="337">
        <f>D123/D101</f>
        <v>0.79538337741310139</v>
      </c>
      <c r="E136" s="337">
        <f>E123/E101</f>
        <v>0.80868431593293744</v>
      </c>
      <c r="F136" s="337">
        <f>F123/F101</f>
        <v>-0.46474053222588607</v>
      </c>
      <c r="G136" s="337" t="e">
        <f>G123/G101</f>
        <v>#DIV/0!</v>
      </c>
    </row>
    <row r="137" spans="1:8" ht="24">
      <c r="A137" s="241"/>
      <c r="B137" s="242" t="s">
        <v>121</v>
      </c>
      <c r="C137" s="337"/>
      <c r="D137" s="337"/>
      <c r="E137" s="337"/>
      <c r="F137" s="337"/>
      <c r="G137" s="337"/>
    </row>
    <row r="138" spans="1:8" ht="13.5" customHeight="1">
      <c r="A138" s="335" t="s">
        <v>122</v>
      </c>
      <c r="B138" s="336"/>
      <c r="C138" s="337">
        <f>C115/C123</f>
        <v>13.869464335123208</v>
      </c>
      <c r="D138" s="337">
        <f>D115/D123</f>
        <v>0.25725534176033721</v>
      </c>
      <c r="E138" s="337">
        <f>E115/E123</f>
        <v>0.23657649875093292</v>
      </c>
      <c r="F138" s="337">
        <f>F115/F123</f>
        <v>-3.1517382940766447</v>
      </c>
      <c r="G138" s="337" t="e">
        <f>G115/G123</f>
        <v>#DIV/0!</v>
      </c>
    </row>
    <row r="139" spans="1:8">
      <c r="A139" s="241"/>
      <c r="B139" s="242" t="s">
        <v>123</v>
      </c>
      <c r="C139" s="337"/>
      <c r="D139" s="337"/>
      <c r="E139" s="337"/>
      <c r="F139" s="337"/>
      <c r="G139" s="337"/>
    </row>
    <row r="140" spans="1:8" s="151" customFormat="1" ht="8.1" customHeight="1">
      <c r="A140" s="156"/>
      <c r="B140" s="157"/>
      <c r="C140" s="169"/>
      <c r="D140" s="169"/>
      <c r="E140" s="169"/>
      <c r="F140" s="169"/>
      <c r="G140" s="163"/>
    </row>
    <row r="141" spans="1:8">
      <c r="A141" s="250" t="s">
        <v>124</v>
      </c>
      <c r="B141" s="23"/>
      <c r="C141" s="299">
        <v>223</v>
      </c>
      <c r="D141" s="299">
        <v>111</v>
      </c>
      <c r="E141" s="70">
        <v>110</v>
      </c>
      <c r="F141" s="299">
        <f>77+86</f>
        <v>163</v>
      </c>
      <c r="G141" s="107"/>
      <c r="H141" s="133">
        <f>AVERAGE(C141:G141)</f>
        <v>151.75</v>
      </c>
    </row>
    <row r="142" spans="1:8" s="151" customFormat="1" ht="8.1" customHeight="1">
      <c r="A142" s="162"/>
      <c r="B142" s="157"/>
      <c r="C142" s="170"/>
      <c r="D142" s="170"/>
      <c r="E142" s="170"/>
      <c r="F142" s="170"/>
      <c r="G142" s="172"/>
    </row>
    <row r="143" spans="1:8">
      <c r="A143" s="252" t="s">
        <v>125</v>
      </c>
      <c r="B143" s="252"/>
      <c r="C143" s="164">
        <v>1029580</v>
      </c>
      <c r="D143" s="164">
        <v>1069377</v>
      </c>
      <c r="E143" s="164">
        <v>281120.886</v>
      </c>
      <c r="F143" s="70">
        <v>441732</v>
      </c>
      <c r="G143" s="173"/>
      <c r="H143" s="80">
        <f>AVERAGE(C143:G143)</f>
        <v>705452.47149999999</v>
      </c>
    </row>
    <row r="144" spans="1:8">
      <c r="A144" s="251" t="s">
        <v>126</v>
      </c>
      <c r="B144" s="251"/>
      <c r="C144" s="164">
        <v>531656</v>
      </c>
      <c r="D144" s="164">
        <v>433332</v>
      </c>
      <c r="E144" s="164">
        <v>102807</v>
      </c>
      <c r="F144" s="70">
        <v>130518</v>
      </c>
      <c r="G144" s="173"/>
      <c r="H144" s="80">
        <f>AVERAGE(C144:G144)</f>
        <v>299578.25</v>
      </c>
    </row>
    <row r="145" spans="1:8">
      <c r="A145" s="251" t="s">
        <v>127</v>
      </c>
      <c r="B145" s="251"/>
      <c r="C145" s="173">
        <v>1561236</v>
      </c>
      <c r="D145" s="173">
        <v>1502709</v>
      </c>
      <c r="E145" s="173">
        <v>383928</v>
      </c>
      <c r="F145" s="107">
        <v>572250</v>
      </c>
      <c r="G145" s="173"/>
      <c r="H145" s="80">
        <f>AVERAGE(C145:G145)</f>
        <v>1005030.75</v>
      </c>
    </row>
    <row r="146" spans="1:8">
      <c r="A146" s="10" t="s">
        <v>177</v>
      </c>
      <c r="C146" s="94"/>
      <c r="D146" s="94"/>
      <c r="E146" s="94"/>
      <c r="F146" s="95"/>
      <c r="H146" s="80"/>
    </row>
    <row r="147" spans="1:8">
      <c r="F147" s="48"/>
    </row>
    <row r="148" spans="1:8">
      <c r="A148" s="192"/>
      <c r="B148" s="52"/>
    </row>
    <row r="149" spans="1:8">
      <c r="A149" s="192"/>
      <c r="B149" s="52"/>
    </row>
  </sheetData>
  <mergeCells count="40">
    <mergeCell ref="D136:D137"/>
    <mergeCell ref="E136:E137"/>
    <mergeCell ref="F136:F137"/>
    <mergeCell ref="G136:G137"/>
    <mergeCell ref="D138:D139"/>
    <mergeCell ref="E138:E139"/>
    <mergeCell ref="F138:F139"/>
    <mergeCell ref="G138:G139"/>
    <mergeCell ref="D131:D132"/>
    <mergeCell ref="E131:E132"/>
    <mergeCell ref="F131:F132"/>
    <mergeCell ref="G131:G132"/>
    <mergeCell ref="D134:D135"/>
    <mergeCell ref="E134:E135"/>
    <mergeCell ref="F134:F135"/>
    <mergeCell ref="G134:G135"/>
    <mergeCell ref="D127:D128"/>
    <mergeCell ref="E127:E128"/>
    <mergeCell ref="F127:F128"/>
    <mergeCell ref="G127:G128"/>
    <mergeCell ref="D129:D130"/>
    <mergeCell ref="E129:E130"/>
    <mergeCell ref="F129:F130"/>
    <mergeCell ref="G129:G130"/>
    <mergeCell ref="F2:F3"/>
    <mergeCell ref="G2:G3"/>
    <mergeCell ref="A138:B138"/>
    <mergeCell ref="A71:B71"/>
    <mergeCell ref="A1:B3"/>
    <mergeCell ref="C2:C3"/>
    <mergeCell ref="D2:D3"/>
    <mergeCell ref="E2:E3"/>
    <mergeCell ref="A127:B127"/>
    <mergeCell ref="A81:B82"/>
    <mergeCell ref="C127:C128"/>
    <mergeCell ref="C129:C130"/>
    <mergeCell ref="C131:C132"/>
    <mergeCell ref="C134:C135"/>
    <mergeCell ref="C136:C137"/>
    <mergeCell ref="C138:C139"/>
  </mergeCells>
  <conditionalFormatting sqref="C127:F128">
    <cfRule type="cellIs" dxfId="3" priority="8" operator="lessThan">
      <formula>0</formula>
    </cfRule>
  </conditionalFormatting>
  <conditionalFormatting sqref="C69:F69">
    <cfRule type="cellIs" dxfId="2" priority="7" operator="lessThan">
      <formula>0</formula>
    </cfRule>
  </conditionalFormatting>
  <conditionalFormatting sqref="G127:G128">
    <cfRule type="cellIs" dxfId="1" priority="2" operator="lessThan">
      <formula>0</formula>
    </cfRule>
  </conditionalFormatting>
  <conditionalFormatting sqref="G69">
    <cfRule type="cellIs" dxfId="0" priority="1" operator="lessThan">
      <formula>0</formula>
    </cfRule>
  </conditionalFormatting>
  <printOptions horizontalCentered="1"/>
  <pageMargins left="0.5" right="0.5" top="0.75" bottom="0.35" header="0.5" footer="0.15"/>
  <pageSetup scale="65" fitToHeight="2" orientation="portrait" r:id="rId1"/>
  <headerFooter alignWithMargins="0">
    <oddHeader>&amp;C&amp;"Arial,Bold"&amp;14CLASS VII FAIRS</oddHeader>
    <oddFooter xml:space="preserve">&amp;CFairs and Expositions&amp;R
</oddFooter>
  </headerFooter>
  <rowBreaks count="1" manualBreakCount="1">
    <brk id="80" max="6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D3A7-73B7-475C-9F8C-36393C3D8132}">
  <sheetPr>
    <pageSetUpPr fitToPage="1"/>
  </sheetPr>
  <dimension ref="B1:L33"/>
  <sheetViews>
    <sheetView zoomScale="85" zoomScaleNormal="85" zoomScaleSheetLayoutView="100" workbookViewId="0">
      <selection activeCell="C8" sqref="C8"/>
    </sheetView>
  </sheetViews>
  <sheetFormatPr defaultRowHeight="12.75"/>
  <cols>
    <col min="1" max="1" width="9.140625" style="4"/>
    <col min="2" max="2" width="58.7109375" style="4" customWidth="1"/>
    <col min="3" max="3" width="15.7109375" style="4" bestFit="1" customWidth="1"/>
    <col min="4" max="4" width="15.28515625" style="4" bestFit="1" customWidth="1"/>
    <col min="5" max="10" width="16.42578125" style="4" bestFit="1" customWidth="1"/>
    <col min="11" max="11" width="17.85546875" style="4" bestFit="1" customWidth="1"/>
    <col min="12" max="16384" width="9.140625" style="4"/>
  </cols>
  <sheetData>
    <row r="1" spans="2:12" ht="24.95" customHeight="1">
      <c r="B1" s="3"/>
      <c r="C1" s="3"/>
      <c r="D1" s="3"/>
      <c r="E1" s="3"/>
      <c r="F1" s="3"/>
      <c r="G1" s="3"/>
      <c r="H1" s="3"/>
      <c r="I1" s="3"/>
      <c r="J1" s="3"/>
      <c r="K1" s="3"/>
    </row>
    <row r="2" spans="2:12" s="5" customFormat="1" ht="30" customHeight="1">
      <c r="B2" s="305" t="s">
        <v>216</v>
      </c>
      <c r="C2" s="308" t="s">
        <v>1</v>
      </c>
      <c r="D2" s="308" t="s">
        <v>2</v>
      </c>
      <c r="E2" s="309" t="s">
        <v>3</v>
      </c>
      <c r="F2" s="309" t="s">
        <v>4</v>
      </c>
      <c r="G2" s="309" t="s">
        <v>5</v>
      </c>
      <c r="H2" s="309" t="s">
        <v>6</v>
      </c>
      <c r="I2" s="309" t="s">
        <v>7</v>
      </c>
      <c r="J2" s="309" t="s">
        <v>8</v>
      </c>
      <c r="K2" s="309" t="s">
        <v>9</v>
      </c>
    </row>
    <row r="3" spans="2:12" s="5" customFormat="1" ht="30" customHeight="1">
      <c r="B3" s="310" t="s">
        <v>10</v>
      </c>
      <c r="C3" s="313">
        <v>12</v>
      </c>
      <c r="D3" s="313">
        <v>9</v>
      </c>
      <c r="E3" s="314">
        <v>14</v>
      </c>
      <c r="F3" s="314">
        <v>14</v>
      </c>
      <c r="G3" s="314">
        <v>8</v>
      </c>
      <c r="H3" s="314">
        <v>6</v>
      </c>
      <c r="I3" s="314">
        <v>4</v>
      </c>
      <c r="J3" s="314">
        <v>5</v>
      </c>
      <c r="K3" s="314">
        <v>5</v>
      </c>
    </row>
    <row r="4" spans="2:12" s="5" customFormat="1" ht="30" customHeight="1">
      <c r="B4" s="8" t="s">
        <v>243</v>
      </c>
      <c r="C4" s="304">
        <f>MEDIAN('Class 1'!C64:N64)</f>
        <v>110274.07</v>
      </c>
      <c r="D4" s="304">
        <f>MEDIAN('Class 2'!C64:K64)</f>
        <v>123082.1</v>
      </c>
      <c r="E4" s="223">
        <f>MEDIAN('Class 3'!C64:P64)</f>
        <v>228093.19999999998</v>
      </c>
      <c r="F4" s="223">
        <f>MEDIAN('Class 3+'!C64:P64)</f>
        <v>739248.62500000012</v>
      </c>
      <c r="G4" s="223">
        <f>MEDIAN('Class 4'!C64:J64)</f>
        <v>209209</v>
      </c>
      <c r="H4" s="223">
        <f>MEDIAN('Class 4+'!C64:H64)</f>
        <v>-161892</v>
      </c>
      <c r="I4" s="223">
        <f>MEDIAN('Class 5'!C64:F64)</f>
        <v>1607412.605</v>
      </c>
      <c r="J4" s="223">
        <f>MEDIAN('Class 6'!C64:G64)</f>
        <v>1454736</v>
      </c>
      <c r="K4" s="223">
        <f>MEDIAN('Class 7'!C64:G64)</f>
        <v>6234590</v>
      </c>
    </row>
    <row r="5" spans="2:12" s="5" customFormat="1" ht="30" customHeight="1">
      <c r="B5" s="8" t="s">
        <v>244</v>
      </c>
      <c r="C5" s="304">
        <f>MEDIAN('Class 1'!C69:N69)</f>
        <v>0.17205428804931433</v>
      </c>
      <c r="D5" s="304">
        <f>MEDIAN('Class 2'!C69:K69)</f>
        <v>0.20083696741745036</v>
      </c>
      <c r="E5" s="225" t="e">
        <f>MEDIAN('Class 3'!C69:P69)</f>
        <v>#DIV/0!</v>
      </c>
      <c r="F5" s="225">
        <f>MEDIAN('Class 3+'!C69:P69)</f>
        <v>0.53306689280406361</v>
      </c>
      <c r="G5" s="225">
        <f>MEDIAN('Class 4'!C69:J69)</f>
        <v>9.2712168114497659E-2</v>
      </c>
      <c r="H5" s="226" t="e">
        <f>MEDIAN('Class 4+'!C69:H69)</f>
        <v>#DIV/0!</v>
      </c>
      <c r="I5" s="225">
        <f>MEDIAN('Class 5'!C69:F69)</f>
        <v>0.58815348461866113</v>
      </c>
      <c r="J5" s="225">
        <f>MEDIAN('Class 6'!C69:G69)</f>
        <v>0.10772042432222116</v>
      </c>
      <c r="K5" s="225" t="e">
        <f>MEDIAN('Class 7'!C69:G69)</f>
        <v>#DIV/0!</v>
      </c>
    </row>
    <row r="6" spans="2:12" s="5" customFormat="1" ht="30" customHeight="1">
      <c r="B6" s="312" t="s">
        <v>241</v>
      </c>
      <c r="C6" s="304">
        <f>MAX('Class 1'!C64:N64)</f>
        <v>585513</v>
      </c>
      <c r="D6" s="304">
        <f>MAX('Class 2'!C64:K64)</f>
        <v>681287.10000000033</v>
      </c>
      <c r="E6" s="227">
        <f>MAX('Class 3'!C64:P64)</f>
        <v>2053929.55</v>
      </c>
      <c r="F6" s="227">
        <f>MAX('Class 3+'!C64:P64)</f>
        <v>3407721.68</v>
      </c>
      <c r="G6" s="227">
        <f>MAX('Class 4'!C64:J64)</f>
        <v>994093</v>
      </c>
      <c r="H6" s="227">
        <f>MAX('Class 4+'!C64:H64)</f>
        <v>293758</v>
      </c>
      <c r="I6" s="227">
        <f>MAX('Class 5'!C64:F64)</f>
        <v>3955631</v>
      </c>
      <c r="J6" s="227">
        <f>MAX('Class 6'!C64:G64)</f>
        <v>5179722</v>
      </c>
      <c r="K6" s="227">
        <f>MAX('Class 7'!C64:G64)</f>
        <v>46800299</v>
      </c>
    </row>
    <row r="7" spans="2:12" s="5" customFormat="1" ht="30" customHeight="1">
      <c r="B7" s="312" t="s">
        <v>242</v>
      </c>
      <c r="C7" s="304">
        <f>MIN('Class 1'!C64:N64)</f>
        <v>-1550615</v>
      </c>
      <c r="D7" s="304">
        <f>MIN('Class 2'!C64:K64)</f>
        <v>-196966.62</v>
      </c>
      <c r="E7" s="223">
        <f>MIN('Class 3'!C64:P64)</f>
        <v>-423988.6100000001</v>
      </c>
      <c r="F7" s="223">
        <f>MIN('Class 3+'!C64:P64)</f>
        <v>-367141</v>
      </c>
      <c r="G7" s="223">
        <f>MIN('Class 4'!C64:J64)</f>
        <v>-232703.41000000015</v>
      </c>
      <c r="H7" s="223">
        <f>MIN('Class 4+'!C64:H64)</f>
        <v>-475760.2099999988</v>
      </c>
      <c r="I7" s="227">
        <f>MIN('Class 5'!C64:F64)</f>
        <v>-137206</v>
      </c>
      <c r="J7" s="227">
        <f>MIN('Class 6'!C64:G64)</f>
        <v>-720684</v>
      </c>
      <c r="K7" s="228">
        <f>MIN('Class 7'!C64:G64)</f>
        <v>2603383</v>
      </c>
    </row>
    <row r="8" spans="2:12" s="5" customFormat="1" ht="30" customHeight="1">
      <c r="B8" s="315" t="s">
        <v>245</v>
      </c>
      <c r="C8" s="304"/>
      <c r="D8" s="304"/>
      <c r="E8" s="223"/>
      <c r="F8" s="223"/>
      <c r="G8" s="223"/>
      <c r="H8" s="223"/>
      <c r="I8" s="227"/>
      <c r="J8" s="227"/>
      <c r="K8" s="228"/>
    </row>
    <row r="9" spans="2:12" ht="35.25" customHeight="1">
      <c r="B9" s="311" t="s">
        <v>217</v>
      </c>
      <c r="C9" s="306">
        <f>SUM('Class 1'!C32:N32)</f>
        <v>4797445.71</v>
      </c>
      <c r="D9" s="306">
        <f>SUM('Class 2'!C32:K32)</f>
        <v>5613246.29</v>
      </c>
      <c r="E9" s="307">
        <f>SUM('Class 3'!C32:P32)</f>
        <v>13659187.558000002</v>
      </c>
      <c r="F9" s="307">
        <f>SUM('Class 3+'!C32:P32)</f>
        <v>24023083.609999999</v>
      </c>
      <c r="G9" s="307">
        <f>SUM('Class 4'!C32:J32)</f>
        <v>18415791.34</v>
      </c>
      <c r="H9" s="307">
        <f>SUM('Class 4+'!C32:H32)</f>
        <v>20853221.119999997</v>
      </c>
      <c r="I9" s="307">
        <f>SUM('Class 5'!C32:F32)</f>
        <v>26184186.91</v>
      </c>
      <c r="J9" s="307">
        <f>SUM('Class 6'!C32:G32)</f>
        <v>54510439.140000001</v>
      </c>
      <c r="K9" s="307">
        <f>SUM('Class 7'!C32:G32)</f>
        <v>183340056.98000002</v>
      </c>
      <c r="L9" s="7"/>
    </row>
    <row r="10" spans="2:12" ht="35.25" customHeight="1">
      <c r="B10" s="311" t="s">
        <v>218</v>
      </c>
      <c r="C10" s="306">
        <f>SUM('Class 1'!C52:N52)</f>
        <v>6040267.1700000009</v>
      </c>
      <c r="D10" s="306">
        <f>SUM('Class 2'!C52:K52)</f>
        <v>6433401.3999999994</v>
      </c>
      <c r="E10" s="306">
        <f>SUM('Class 3'!C52:P52)</f>
        <v>14094371.970000001</v>
      </c>
      <c r="F10" s="306">
        <f>SUM('Class 3+'!C52:P52)</f>
        <v>23797670.280000001</v>
      </c>
      <c r="G10" s="306">
        <f>SUM('Class 4'!C52:J52)</f>
        <v>18208975.82</v>
      </c>
      <c r="H10" s="306">
        <f>SUM('Class 4+'!C52:H52)</f>
        <v>20745921.739999998</v>
      </c>
      <c r="I10" s="306">
        <f>SUM('Class 5'!C52:F52)</f>
        <v>22375974.829999998</v>
      </c>
      <c r="J10" s="306">
        <f>SUM('Class 6'!C52:G52)</f>
        <v>51670807.159999996</v>
      </c>
      <c r="K10" s="306">
        <f>SUM('Class 7'!C52:G52)</f>
        <v>167502670.22000003</v>
      </c>
      <c r="L10" s="7"/>
    </row>
    <row r="11" spans="2:12" ht="35.25" customHeight="1">
      <c r="B11" s="8" t="s">
        <v>17</v>
      </c>
      <c r="C11" s="304">
        <f>AVERAGE('Class 1'!C32:N32)</f>
        <v>399787.14250000002</v>
      </c>
      <c r="D11" s="304">
        <f>AVERAGE('Class 2'!C32:K32)</f>
        <v>623694.03222222219</v>
      </c>
      <c r="E11" s="229">
        <f>AVERAGE('Class 3'!C32:P32)</f>
        <v>975656.25414285727</v>
      </c>
      <c r="F11" s="229">
        <f>AVERAGE('Class 3+'!C32:P32)</f>
        <v>1715934.5435714286</v>
      </c>
      <c r="G11" s="229">
        <f>AVERAGE('Class 4'!C32:J32)</f>
        <v>2301973.9175</v>
      </c>
      <c r="H11" s="229">
        <f>AVERAGE('Class 4+'!C32:H32)</f>
        <v>3475536.853333333</v>
      </c>
      <c r="I11" s="229">
        <f>AVERAGE('Class 5'!C32:F32)</f>
        <v>6546046.7275</v>
      </c>
      <c r="J11" s="229">
        <f>AVERAGE('Class 6'!C32:G32)</f>
        <v>10902087.828</v>
      </c>
      <c r="K11" s="229">
        <f>AVERAGE('Class 7'!C32:G32)</f>
        <v>36668011.396000005</v>
      </c>
      <c r="L11" s="7"/>
    </row>
    <row r="12" spans="2:12" ht="35.25" customHeight="1">
      <c r="B12" s="8" t="s">
        <v>18</v>
      </c>
      <c r="C12" s="304">
        <f>AVERAGE('Class 1'!C52:N52)</f>
        <v>503355.59750000009</v>
      </c>
      <c r="D12" s="304">
        <f>AVERAGE('Class 2'!C52:K52)</f>
        <v>714822.37777777773</v>
      </c>
      <c r="E12" s="229">
        <f>AVERAGE('Class 3'!C52:P52)</f>
        <v>1006740.8550000001</v>
      </c>
      <c r="F12" s="229">
        <f>AVERAGE('Class 3+'!C52:P52)</f>
        <v>1699833.5914285716</v>
      </c>
      <c r="G12" s="229">
        <f>AVERAGE('Class 4'!C52:J52)</f>
        <v>2276121.9775</v>
      </c>
      <c r="H12" s="229">
        <f>AVERAGE('Class 4+'!C52:H52)</f>
        <v>3457653.6233333331</v>
      </c>
      <c r="I12" s="229">
        <f>AVERAGE('Class 5'!C52:F52)</f>
        <v>5593993.7074999996</v>
      </c>
      <c r="J12" s="229">
        <f>AVERAGE('Class 6'!C52:G52)</f>
        <v>10334161.432</v>
      </c>
      <c r="K12" s="229">
        <f>AVERAGE('Class 7'!C52:G52)</f>
        <v>33500534.044000007</v>
      </c>
      <c r="L12" s="7"/>
    </row>
    <row r="13" spans="2:12" ht="30" customHeight="1">
      <c r="B13" s="8" t="s">
        <v>189</v>
      </c>
      <c r="C13" s="230">
        <f>AVERAGE('Class 1'!C109:N109)</f>
        <v>5838.6791666666659</v>
      </c>
      <c r="D13" s="230">
        <f>AVERAGE('Class 2'!C109:K109)</f>
        <v>16914.224444444444</v>
      </c>
      <c r="E13" s="230">
        <f>AVERAGE('Class 3'!C109:P109)</f>
        <v>22877.102307692308</v>
      </c>
      <c r="F13" s="230">
        <f>AVERAGE('Class 3+'!C109:P109)</f>
        <v>31574.802857142855</v>
      </c>
      <c r="G13" s="230">
        <f>AVERAGE('Class 4'!C109:J109)</f>
        <v>87818.888750000013</v>
      </c>
      <c r="H13" s="230">
        <f>AVERAGE('Class 4+'!C109:H109)</f>
        <v>75166.720000000001</v>
      </c>
      <c r="I13" s="230">
        <f>AVERAGE('Class 5'!C109:F109)</f>
        <v>208138.11499999999</v>
      </c>
      <c r="J13" s="230">
        <f>AVERAGE('Class 6'!C109:G109)</f>
        <v>230829.4</v>
      </c>
      <c r="K13" s="230">
        <f>AVERAGE('Class 7'!C109:G109)</f>
        <v>1499516.26</v>
      </c>
    </row>
    <row r="14" spans="2:12" ht="30" customHeight="1">
      <c r="B14" s="8" t="s">
        <v>23</v>
      </c>
      <c r="C14" s="9">
        <f>AVERAGE('Class 1'!C141:N141)</f>
        <v>2</v>
      </c>
      <c r="D14" s="9">
        <f>AVERAGE('Class 2'!C141:K141)</f>
        <v>2.2222222222222223</v>
      </c>
      <c r="E14" s="9">
        <f>AVERAGE('Class 3'!C141:P141)</f>
        <v>3</v>
      </c>
      <c r="F14" s="9">
        <f>AVERAGE('Class 3+'!C141:P141)</f>
        <v>5.3571428571428568</v>
      </c>
      <c r="G14" s="9">
        <f>AVERAGE('Class 4'!C141:J141)</f>
        <v>5.375</v>
      </c>
      <c r="H14" s="9">
        <f>AVERAGE('Class 4+'!C141:H141)</f>
        <v>14.8</v>
      </c>
      <c r="I14" s="9">
        <f>AVERAGE('Class 5'!C141:F141)</f>
        <v>24.5</v>
      </c>
      <c r="J14" s="9">
        <f>AVERAGE('Class 6'!C141:G141)</f>
        <v>28</v>
      </c>
      <c r="K14" s="9">
        <f>AVERAGE('Class 7'!C141:G141)</f>
        <v>151.75</v>
      </c>
    </row>
    <row r="15" spans="2:12" ht="30" customHeight="1">
      <c r="B15" s="8" t="s">
        <v>24</v>
      </c>
      <c r="C15" s="231">
        <f>AVERAGE('Class 1'!C143:N143)</f>
        <v>11786.125</v>
      </c>
      <c r="D15" s="231">
        <f>AVERAGE('Class 2'!C143:K143)</f>
        <v>11734.888888888889</v>
      </c>
      <c r="E15" s="231">
        <f>AVERAGE('Class 3'!C143:P143)</f>
        <v>19170.916666666668</v>
      </c>
      <c r="F15" s="231">
        <f>AVERAGE('Class 3+'!C143:P143)</f>
        <v>31865.642857142859</v>
      </c>
      <c r="G15" s="231">
        <f>AVERAGE('Class 4'!C143:J143)</f>
        <v>51216.125</v>
      </c>
      <c r="H15" s="231">
        <f>AVERAGE('Class 4+'!C143:H143)</f>
        <v>55656.800000000003</v>
      </c>
      <c r="I15" s="231">
        <f>AVERAGE('Class 5'!C143:F143)</f>
        <v>93610.666666666672</v>
      </c>
      <c r="J15" s="231">
        <f>AVERAGE('Class 6'!C143:G143)</f>
        <v>176835.6</v>
      </c>
      <c r="K15" s="231">
        <f>AVERAGE('Class 7'!C143:G143)</f>
        <v>705452.47149999999</v>
      </c>
    </row>
    <row r="16" spans="2:12" ht="30" customHeight="1">
      <c r="B16" s="8" t="s">
        <v>25</v>
      </c>
      <c r="C16" s="231">
        <f>AVERAGE('Class 1'!C144:N144)</f>
        <v>7098.625</v>
      </c>
      <c r="D16" s="231">
        <f>AVERAGE('Class 2'!C144:K144)</f>
        <v>3853.6666666666665</v>
      </c>
      <c r="E16" s="231">
        <f>AVERAGE('Class 3'!C144:P144)</f>
        <v>12259.083333333334</v>
      </c>
      <c r="F16" s="231">
        <f>AVERAGE('Class 3+'!C144:P144)</f>
        <v>12773.357142857143</v>
      </c>
      <c r="G16" s="231">
        <f>AVERAGE('Class 4'!C144:J144)</f>
        <v>18660.875</v>
      </c>
      <c r="H16" s="231">
        <f>AVERAGE('Class 4+'!C144:H144)</f>
        <v>21869.200000000001</v>
      </c>
      <c r="I16" s="231">
        <f>AVERAGE('Class 5'!C144:F144)</f>
        <v>55122.333333333336</v>
      </c>
      <c r="J16" s="231">
        <f>AVERAGE('Class 6'!C144:G144)</f>
        <v>74298.2</v>
      </c>
      <c r="K16" s="231">
        <f>AVERAGE('Class 7'!C144:G144)</f>
        <v>299578.25</v>
      </c>
    </row>
    <row r="17" spans="2:11" ht="19.5" customHeight="1">
      <c r="B17" s="8" t="s">
        <v>26</v>
      </c>
      <c r="C17" s="231">
        <f>AVERAGE('Class 1'!C145:N145)</f>
        <v>18884.75</v>
      </c>
      <c r="D17" s="231">
        <f>AVERAGE('Class 2'!C145:K145)</f>
        <v>15588.555555555555</v>
      </c>
      <c r="E17" s="231">
        <f>AVERAGE('Class 3'!C145:P145)</f>
        <v>31430</v>
      </c>
      <c r="F17" s="231">
        <f>AVERAGE('Class 3+'!C145:P145)</f>
        <v>44639</v>
      </c>
      <c r="G17" s="231">
        <f>AVERAGE('Class 4'!C145:J145)</f>
        <v>69877</v>
      </c>
      <c r="H17" s="231">
        <f>AVERAGE('Class 4+'!C145:H145)</f>
        <v>77526</v>
      </c>
      <c r="I17" s="231">
        <f>AVERAGE('Class 5'!C145:F145)</f>
        <v>148733</v>
      </c>
      <c r="J17" s="231">
        <f>AVERAGE('Class 6'!C145:G145)</f>
        <v>251133.8</v>
      </c>
      <c r="K17" s="231">
        <f>AVERAGE('Class 7'!C145:G145)</f>
        <v>1005030.75</v>
      </c>
    </row>
    <row r="18" spans="2:11" ht="19.5" customHeight="1">
      <c r="B18" s="8"/>
      <c r="C18" s="9">
        <f t="shared" ref="C18:K18" si="0">+C16+C15-C17</f>
        <v>0</v>
      </c>
      <c r="D18" s="9">
        <f t="shared" si="0"/>
        <v>0</v>
      </c>
      <c r="E18" s="9">
        <f t="shared" si="0"/>
        <v>0</v>
      </c>
      <c r="F18" s="9">
        <f t="shared" si="0"/>
        <v>0</v>
      </c>
      <c r="G18" s="9">
        <f t="shared" si="0"/>
        <v>0</v>
      </c>
      <c r="H18" s="9">
        <f t="shared" si="0"/>
        <v>0</v>
      </c>
      <c r="I18" s="9">
        <f t="shared" si="0"/>
        <v>0</v>
      </c>
      <c r="J18" s="9">
        <f t="shared" si="0"/>
        <v>0</v>
      </c>
      <c r="K18" s="9">
        <f t="shared" si="0"/>
        <v>-2.8500000014901161E-2</v>
      </c>
    </row>
    <row r="19" spans="2:11" ht="30" customHeight="1">
      <c r="B19" s="4" t="s">
        <v>27</v>
      </c>
    </row>
    <row r="20" spans="2:11" ht="30" customHeight="1">
      <c r="B20" s="4" t="s">
        <v>28</v>
      </c>
    </row>
    <row r="21" spans="2:11" ht="30" customHeight="1"/>
    <row r="22" spans="2:11" ht="30" customHeight="1"/>
    <row r="24" spans="2:11" ht="30" customHeight="1"/>
    <row r="25" spans="2:11" ht="30" customHeight="1"/>
    <row r="26" spans="2:11" ht="30" customHeight="1"/>
    <row r="27" spans="2:11" ht="30" customHeight="1"/>
    <row r="28" spans="2:11" ht="30" customHeight="1"/>
    <row r="29" spans="2:11" ht="30" customHeight="1"/>
    <row r="30" spans="2:11" ht="30" customHeight="1"/>
    <row r="31" spans="2:11" ht="30" customHeight="1"/>
    <row r="32" spans="2:11" ht="30" customHeight="1"/>
    <row r="33" ht="30" customHeight="1"/>
  </sheetData>
  <conditionalFormatting sqref="C4:K8">
    <cfRule type="cellIs" dxfId="53" priority="3" operator="lessThan">
      <formula>0</formula>
    </cfRule>
  </conditionalFormatting>
  <conditionalFormatting sqref="C11:K12">
    <cfRule type="cellIs" dxfId="52" priority="2" operator="lessThan">
      <formula>0</formula>
    </cfRule>
  </conditionalFormatting>
  <conditionalFormatting sqref="C9:K9">
    <cfRule type="cellIs" dxfId="51" priority="1" operator="lessThan">
      <formula>0</formula>
    </cfRule>
  </conditionalFormatting>
  <printOptions horizontalCentered="1" verticalCentered="1"/>
  <pageMargins left="0.5" right="0.5" top="0.21" bottom="0.7" header="0.21" footer="0.5"/>
  <pageSetup scale="64" orientation="landscape" r:id="rId1"/>
  <headerFooter alignWithMargins="0">
    <oddHeader xml:space="preserve">&amp;C&amp;"Arial,Bold Italic"&amp;14 </oddHeader>
    <oddFooter>&amp;C&amp;14Fairs and Expositions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156"/>
  <sheetViews>
    <sheetView tabSelected="1" view="pageBreakPreview" zoomScale="85" zoomScaleNormal="10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F143" sqref="F143:F145"/>
    </sheetView>
  </sheetViews>
  <sheetFormatPr defaultRowHeight="12.75"/>
  <cols>
    <col min="1" max="1" width="4.7109375" style="10" customWidth="1"/>
    <col min="2" max="2" width="56.42578125" style="10" customWidth="1"/>
    <col min="3" max="3" width="12.7109375" style="73" customWidth="1"/>
    <col min="4" max="7" width="12.7109375" style="10" customWidth="1"/>
    <col min="8" max="8" width="12.7109375" style="48" customWidth="1"/>
    <col min="9" max="9" width="12.7109375" style="10" customWidth="1"/>
    <col min="10" max="13" width="12.7109375" style="48" customWidth="1"/>
    <col min="14" max="14" width="12.7109375" style="10" customWidth="1"/>
    <col min="15" max="15" width="13.42578125" style="10" bestFit="1" customWidth="1"/>
    <col min="16" max="16" width="2.140625" style="10" customWidth="1"/>
    <col min="17" max="17" width="12" style="10" customWidth="1"/>
    <col min="18" max="16384" width="9.140625" style="10"/>
  </cols>
  <sheetData>
    <row r="1" spans="1:17" ht="12" customHeight="1">
      <c r="A1" s="318"/>
      <c r="B1" s="319"/>
      <c r="C1" s="260"/>
      <c r="D1" s="260"/>
      <c r="E1" s="260"/>
      <c r="F1" s="260"/>
      <c r="G1" s="260"/>
      <c r="H1" s="260"/>
      <c r="I1" s="260"/>
      <c r="J1" s="261"/>
      <c r="K1" s="261"/>
      <c r="L1" s="260"/>
      <c r="M1" s="260"/>
      <c r="N1" s="260"/>
    </row>
    <row r="2" spans="1:17" ht="12" customHeight="1">
      <c r="A2" s="320"/>
      <c r="B2" s="321"/>
      <c r="C2" s="324" t="s">
        <v>29</v>
      </c>
      <c r="D2" s="327" t="s">
        <v>30</v>
      </c>
      <c r="E2" s="324" t="s">
        <v>31</v>
      </c>
      <c r="F2" s="327" t="s">
        <v>222</v>
      </c>
      <c r="G2" s="327" t="s">
        <v>32</v>
      </c>
      <c r="H2" s="327" t="s">
        <v>33</v>
      </c>
      <c r="I2" s="327" t="s">
        <v>34</v>
      </c>
      <c r="J2" s="327" t="s">
        <v>199</v>
      </c>
      <c r="K2" s="327" t="s">
        <v>35</v>
      </c>
      <c r="L2" s="327" t="s">
        <v>36</v>
      </c>
      <c r="M2" s="327" t="s">
        <v>211</v>
      </c>
      <c r="N2" s="327" t="s">
        <v>37</v>
      </c>
    </row>
    <row r="3" spans="1:17" ht="69" customHeight="1">
      <c r="A3" s="322"/>
      <c r="B3" s="323"/>
      <c r="C3" s="325"/>
      <c r="D3" s="328"/>
      <c r="E3" s="325"/>
      <c r="F3" s="328"/>
      <c r="G3" s="328"/>
      <c r="H3" s="328"/>
      <c r="I3" s="328"/>
      <c r="J3" s="328"/>
      <c r="K3" s="328"/>
      <c r="L3" s="328"/>
      <c r="M3" s="328"/>
      <c r="N3" s="328"/>
      <c r="O3" s="11" t="s">
        <v>38</v>
      </c>
      <c r="Q3" s="10" t="s">
        <v>39</v>
      </c>
    </row>
    <row r="4" spans="1:17" ht="12.95" customHeight="1">
      <c r="A4" s="262" t="s">
        <v>227</v>
      </c>
      <c r="B4" s="12"/>
      <c r="C4" s="13"/>
      <c r="D4" s="14"/>
      <c r="E4" s="14"/>
      <c r="F4" s="14"/>
      <c r="G4" s="14"/>
      <c r="H4" s="15"/>
      <c r="I4" s="14"/>
      <c r="J4" s="15"/>
      <c r="K4" s="15"/>
      <c r="L4" s="15"/>
      <c r="M4" s="15"/>
      <c r="N4" s="14"/>
    </row>
    <row r="5" spans="1:17" ht="13.5" customHeight="1">
      <c r="A5" s="262"/>
      <c r="B5" s="12" t="s">
        <v>40</v>
      </c>
      <c r="C5" s="293">
        <v>122862.13000000024</v>
      </c>
      <c r="D5" s="288">
        <v>241409</v>
      </c>
      <c r="E5" s="288">
        <v>41877</v>
      </c>
      <c r="F5" s="288">
        <v>-1279015</v>
      </c>
      <c r="G5" s="288">
        <v>-332914</v>
      </c>
      <c r="H5" s="288">
        <v>128696.51</v>
      </c>
      <c r="I5" s="288">
        <v>186181</v>
      </c>
      <c r="J5" s="288">
        <v>62539</v>
      </c>
      <c r="K5" s="288">
        <v>-25295</v>
      </c>
      <c r="L5" s="288">
        <v>591020</v>
      </c>
      <c r="M5" s="288">
        <v>427310</v>
      </c>
      <c r="N5" s="14">
        <v>172409</v>
      </c>
    </row>
    <row r="6" spans="1:17" ht="13.5" customHeight="1">
      <c r="A6" s="262"/>
      <c r="B6" s="12" t="s">
        <v>214</v>
      </c>
      <c r="C6" s="16">
        <v>-230904.75</v>
      </c>
      <c r="D6" s="17">
        <v>-351969</v>
      </c>
      <c r="E6" s="17">
        <v>-190860</v>
      </c>
      <c r="F6" s="17">
        <v>-269596</v>
      </c>
      <c r="G6" s="17">
        <v>0</v>
      </c>
      <c r="H6" s="17">
        <v>0</v>
      </c>
      <c r="I6" s="17">
        <v>0</v>
      </c>
      <c r="J6" s="17">
        <v>-228192</v>
      </c>
      <c r="K6" s="17">
        <v>0</v>
      </c>
      <c r="L6" s="17">
        <v>-159686</v>
      </c>
      <c r="M6" s="17"/>
      <c r="N6" s="30">
        <v>0</v>
      </c>
    </row>
    <row r="7" spans="1:17" ht="13.5" customHeight="1">
      <c r="A7" s="262"/>
      <c r="B7" s="12" t="s">
        <v>41</v>
      </c>
      <c r="C7" s="16">
        <v>0</v>
      </c>
      <c r="D7" s="17">
        <v>0</v>
      </c>
      <c r="E7" s="17">
        <v>0</v>
      </c>
      <c r="F7" s="17">
        <v>2971485</v>
      </c>
      <c r="G7" s="17">
        <v>3000000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30">
        <v>0</v>
      </c>
    </row>
    <row r="8" spans="1:17" ht="13.5" customHeight="1">
      <c r="A8" s="262"/>
      <c r="B8" s="12" t="s">
        <v>42</v>
      </c>
      <c r="C8" s="16">
        <v>732329.23999999976</v>
      </c>
      <c r="D8" s="17">
        <v>1487195</v>
      </c>
      <c r="E8" s="17">
        <v>492687</v>
      </c>
      <c r="F8" s="17">
        <v>242221</v>
      </c>
      <c r="G8" s="17">
        <v>0</v>
      </c>
      <c r="H8" s="17">
        <v>1945.1800000000021</v>
      </c>
      <c r="I8" s="17">
        <v>993072</v>
      </c>
      <c r="J8" s="17">
        <v>339070</v>
      </c>
      <c r="K8" s="17">
        <v>2223515</v>
      </c>
      <c r="L8" s="17">
        <v>656393</v>
      </c>
      <c r="M8" s="17">
        <v>167983</v>
      </c>
      <c r="N8" s="17">
        <v>928161</v>
      </c>
    </row>
    <row r="9" spans="1:17" ht="13.5" customHeight="1">
      <c r="A9" s="262"/>
      <c r="B9" s="12" t="s">
        <v>226</v>
      </c>
      <c r="C9" s="18">
        <v>-140.29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-72295.070000000007</v>
      </c>
      <c r="J9" s="19">
        <v>2332.8000000000002</v>
      </c>
      <c r="K9" s="19">
        <v>0</v>
      </c>
      <c r="L9" s="19">
        <v>0</v>
      </c>
      <c r="M9" s="19"/>
      <c r="N9" s="19">
        <v>5415</v>
      </c>
      <c r="Q9" s="20">
        <f>SUM(C9:J9)</f>
        <v>-70102.559999999998</v>
      </c>
    </row>
    <row r="10" spans="1:17" s="22" customFormat="1" ht="13.5" customHeight="1" thickBot="1">
      <c r="A10" s="263"/>
      <c r="B10" s="98" t="s">
        <v>43</v>
      </c>
      <c r="C10" s="67">
        <f>SUM(C5:C9)</f>
        <v>624146.32999999996</v>
      </c>
      <c r="D10" s="67">
        <f t="shared" ref="D10:N10" si="0">SUM(D5:D9)</f>
        <v>1376635</v>
      </c>
      <c r="E10" s="67">
        <f t="shared" si="0"/>
        <v>343704</v>
      </c>
      <c r="F10" s="67">
        <f t="shared" si="0"/>
        <v>1665095</v>
      </c>
      <c r="G10" s="67">
        <f t="shared" si="0"/>
        <v>2667086</v>
      </c>
      <c r="H10" s="67">
        <f>SUM(H5:H9)</f>
        <v>130641.69</v>
      </c>
      <c r="I10" s="67">
        <f t="shared" si="0"/>
        <v>1106957.93</v>
      </c>
      <c r="J10" s="67">
        <f t="shared" ref="J10" si="1">SUM(J5:J9)</f>
        <v>175749.8</v>
      </c>
      <c r="K10" s="67">
        <f t="shared" si="0"/>
        <v>2198220</v>
      </c>
      <c r="L10" s="67">
        <f t="shared" si="0"/>
        <v>1087727</v>
      </c>
      <c r="M10" s="67">
        <f>SUM(M5:M9)</f>
        <v>595293</v>
      </c>
      <c r="N10" s="67">
        <f t="shared" si="0"/>
        <v>1105985</v>
      </c>
      <c r="Q10" s="20">
        <f>SUM(C10:J10)</f>
        <v>8090015.75</v>
      </c>
    </row>
    <row r="11" spans="1:17" s="22" customFormat="1" ht="13.5" customHeight="1">
      <c r="A11" s="241" t="s">
        <v>44</v>
      </c>
      <c r="B11" s="36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</row>
    <row r="12" spans="1:17" s="22" customFormat="1" ht="13.5" customHeight="1">
      <c r="A12" s="264"/>
      <c r="B12" s="23" t="s">
        <v>45</v>
      </c>
      <c r="C12" s="24">
        <v>50920</v>
      </c>
      <c r="D12" s="24">
        <v>50920</v>
      </c>
      <c r="E12" s="24">
        <v>50920</v>
      </c>
      <c r="F12" s="24">
        <v>42009</v>
      </c>
      <c r="G12" s="24">
        <v>50411</v>
      </c>
      <c r="H12" s="24">
        <v>0</v>
      </c>
      <c r="I12" s="24">
        <v>50920</v>
      </c>
      <c r="J12" s="24">
        <v>50920</v>
      </c>
      <c r="K12" s="24">
        <v>50920</v>
      </c>
      <c r="L12" s="24">
        <v>50920</v>
      </c>
      <c r="M12" s="24">
        <v>50920</v>
      </c>
      <c r="N12" s="24">
        <v>50920</v>
      </c>
      <c r="Q12" s="20">
        <f>SUM(C12:J12)</f>
        <v>347020</v>
      </c>
    </row>
    <row r="13" spans="1:17" s="22" customFormat="1" ht="13.5" customHeight="1">
      <c r="A13" s="264"/>
      <c r="B13" s="23" t="s">
        <v>46</v>
      </c>
      <c r="C13" s="24">
        <v>19760</v>
      </c>
      <c r="D13" s="24">
        <v>327760</v>
      </c>
      <c r="E13" s="24">
        <v>345560.72</v>
      </c>
      <c r="F13" s="24">
        <v>177879</v>
      </c>
      <c r="G13" s="24">
        <v>0</v>
      </c>
      <c r="H13" s="24">
        <v>0</v>
      </c>
      <c r="I13" s="24">
        <v>0</v>
      </c>
      <c r="J13" s="24">
        <v>140364.20000000001</v>
      </c>
      <c r="K13" s="24">
        <v>0</v>
      </c>
      <c r="L13" s="24">
        <v>106308</v>
      </c>
      <c r="M13" s="24">
        <v>37246.76</v>
      </c>
      <c r="N13" s="24">
        <v>164891</v>
      </c>
      <c r="Q13" s="20">
        <f>SUM(C13:J13)</f>
        <v>1011323.9199999999</v>
      </c>
    </row>
    <row r="14" spans="1:17" s="22" customFormat="1" ht="13.5" customHeight="1" thickBot="1">
      <c r="A14" s="265"/>
      <c r="B14" s="32" t="s">
        <v>47</v>
      </c>
      <c r="C14" s="33">
        <v>53266.95</v>
      </c>
      <c r="D14" s="33">
        <v>0</v>
      </c>
      <c r="E14" s="33">
        <v>3225</v>
      </c>
      <c r="F14" s="33">
        <v>115</v>
      </c>
      <c r="G14" s="33">
        <v>0</v>
      </c>
      <c r="H14" s="33">
        <v>0</v>
      </c>
      <c r="I14" s="33">
        <f>3225+974</f>
        <v>4199</v>
      </c>
      <c r="J14" s="33">
        <v>0</v>
      </c>
      <c r="K14" s="33">
        <v>6254</v>
      </c>
      <c r="L14" s="33">
        <v>2447</v>
      </c>
      <c r="M14" s="33">
        <v>0</v>
      </c>
      <c r="N14" s="33">
        <f>64210+2321+375493+25000</f>
        <v>467024</v>
      </c>
      <c r="Q14" s="20">
        <f>SUM(C14:J14)</f>
        <v>60805.95</v>
      </c>
    </row>
    <row r="15" spans="1:17" ht="13.5" customHeight="1">
      <c r="A15" s="266" t="s">
        <v>48</v>
      </c>
      <c r="B15" s="25"/>
      <c r="C15" s="26"/>
      <c r="D15" s="27"/>
      <c r="E15" s="27"/>
      <c r="F15" s="27"/>
      <c r="G15" s="27"/>
      <c r="H15" s="28"/>
      <c r="I15" s="27"/>
      <c r="J15" s="28"/>
      <c r="K15" s="28"/>
      <c r="L15" s="28"/>
      <c r="M15" s="28"/>
      <c r="N15" s="27"/>
    </row>
    <row r="16" spans="1:17" ht="13.5" customHeight="1">
      <c r="A16" s="267"/>
      <c r="B16" s="29" t="s">
        <v>49</v>
      </c>
      <c r="C16" s="18">
        <v>0</v>
      </c>
      <c r="D16" s="30">
        <v>96087</v>
      </c>
      <c r="E16" s="30">
        <v>0</v>
      </c>
      <c r="F16" s="30">
        <v>0</v>
      </c>
      <c r="G16" s="30">
        <v>0</v>
      </c>
      <c r="H16" s="19">
        <v>208287</v>
      </c>
      <c r="I16" s="30">
        <v>94241.34</v>
      </c>
      <c r="J16" s="19">
        <v>66499</v>
      </c>
      <c r="K16" s="19">
        <v>76967</v>
      </c>
      <c r="L16" s="19">
        <v>111654</v>
      </c>
      <c r="M16" s="19">
        <v>65313</v>
      </c>
      <c r="N16" s="30">
        <v>16726</v>
      </c>
    </row>
    <row r="17" spans="1:19" ht="13.5" customHeight="1">
      <c r="A17" s="267"/>
      <c r="B17" s="29" t="s">
        <v>50</v>
      </c>
      <c r="C17" s="18">
        <v>30075</v>
      </c>
      <c r="D17" s="30">
        <v>15278</v>
      </c>
      <c r="E17" s="30">
        <v>0</v>
      </c>
      <c r="F17" s="30">
        <v>0</v>
      </c>
      <c r="G17" s="30">
        <v>0</v>
      </c>
      <c r="H17" s="19">
        <v>88006</v>
      </c>
      <c r="I17" s="30">
        <v>91525.99</v>
      </c>
      <c r="J17" s="19">
        <v>8500</v>
      </c>
      <c r="K17" s="19">
        <v>9420</v>
      </c>
      <c r="L17" s="19">
        <v>17448</v>
      </c>
      <c r="M17" s="19">
        <v>10575</v>
      </c>
      <c r="N17" s="30">
        <v>6225</v>
      </c>
    </row>
    <row r="18" spans="1:19" ht="13.5" customHeight="1">
      <c r="A18" s="267"/>
      <c r="B18" s="29" t="s">
        <v>51</v>
      </c>
      <c r="C18" s="18">
        <v>96829</v>
      </c>
      <c r="D18" s="30">
        <v>0</v>
      </c>
      <c r="E18" s="30">
        <v>0</v>
      </c>
      <c r="F18" s="30">
        <v>0</v>
      </c>
      <c r="G18" s="30">
        <v>0</v>
      </c>
      <c r="H18" s="19">
        <v>107541</v>
      </c>
      <c r="I18" s="30">
        <v>27631.55</v>
      </c>
      <c r="J18" s="19">
        <v>35000</v>
      </c>
      <c r="K18" s="19">
        <v>0</v>
      </c>
      <c r="L18" s="19">
        <v>32875</v>
      </c>
      <c r="M18" s="19">
        <v>62580</v>
      </c>
      <c r="N18" s="30">
        <v>15570</v>
      </c>
    </row>
    <row r="19" spans="1:19" ht="13.5" customHeight="1">
      <c r="A19" s="267"/>
      <c r="B19" s="29" t="s">
        <v>52</v>
      </c>
      <c r="C19" s="18">
        <v>79733</v>
      </c>
      <c r="D19" s="30">
        <v>36956</v>
      </c>
      <c r="E19" s="30">
        <v>0</v>
      </c>
      <c r="F19" s="30">
        <v>0</v>
      </c>
      <c r="G19" s="30">
        <v>0</v>
      </c>
      <c r="H19" s="19">
        <v>140818</v>
      </c>
      <c r="I19" s="30">
        <v>16560.580000000002</v>
      </c>
      <c r="J19" s="19">
        <v>32897</v>
      </c>
      <c r="K19" s="19">
        <v>83095</v>
      </c>
      <c r="L19" s="19">
        <v>41584</v>
      </c>
      <c r="M19" s="19">
        <v>81224.780000000013</v>
      </c>
      <c r="N19" s="30">
        <v>17824</v>
      </c>
    </row>
    <row r="20" spans="1:19" ht="13.5" customHeight="1">
      <c r="A20" s="267"/>
      <c r="B20" s="29" t="s">
        <v>53</v>
      </c>
      <c r="C20" s="18">
        <v>8432</v>
      </c>
      <c r="D20" s="30">
        <v>33301</v>
      </c>
      <c r="E20" s="30">
        <v>909</v>
      </c>
      <c r="F20" s="30">
        <v>0</v>
      </c>
      <c r="G20" s="30">
        <v>0</v>
      </c>
      <c r="H20" s="19">
        <v>59372</v>
      </c>
      <c r="I20" s="30">
        <v>226</v>
      </c>
      <c r="J20" s="19">
        <v>1680</v>
      </c>
      <c r="K20" s="19">
        <v>29749</v>
      </c>
      <c r="L20" s="19">
        <v>9396</v>
      </c>
      <c r="M20" s="19">
        <v>15238.5</v>
      </c>
      <c r="N20" s="30">
        <v>17565</v>
      </c>
    </row>
    <row r="21" spans="1:19" ht="13.5" customHeight="1">
      <c r="A21" s="267"/>
      <c r="B21" s="29" t="s">
        <v>54</v>
      </c>
      <c r="C21" s="18">
        <v>220</v>
      </c>
      <c r="D21" s="30">
        <v>64440</v>
      </c>
      <c r="E21" s="30">
        <v>260</v>
      </c>
      <c r="F21" s="30">
        <v>0</v>
      </c>
      <c r="G21" s="30">
        <v>0</v>
      </c>
      <c r="H21" s="19">
        <v>7843</v>
      </c>
      <c r="I21" s="30">
        <v>592</v>
      </c>
      <c r="J21" s="19">
        <v>0</v>
      </c>
      <c r="K21" s="19">
        <v>0</v>
      </c>
      <c r="L21" s="19">
        <v>10</v>
      </c>
      <c r="M21" s="19">
        <v>0</v>
      </c>
      <c r="N21" s="30">
        <v>840</v>
      </c>
    </row>
    <row r="22" spans="1:19" ht="13.5" customHeight="1">
      <c r="A22" s="267"/>
      <c r="B22" s="29" t="s">
        <v>55</v>
      </c>
      <c r="C22" s="18">
        <v>0</v>
      </c>
      <c r="D22" s="30">
        <v>0</v>
      </c>
      <c r="E22" s="30">
        <v>0</v>
      </c>
      <c r="F22" s="30">
        <v>0</v>
      </c>
      <c r="G22" s="30">
        <v>0</v>
      </c>
      <c r="H22" s="19">
        <v>0</v>
      </c>
      <c r="I22" s="30">
        <v>0</v>
      </c>
      <c r="J22" s="19">
        <v>0</v>
      </c>
      <c r="K22" s="19">
        <v>0</v>
      </c>
      <c r="L22" s="19">
        <v>0</v>
      </c>
      <c r="M22" s="19">
        <v>0</v>
      </c>
      <c r="N22" s="30">
        <v>0</v>
      </c>
    </row>
    <row r="23" spans="1:19" ht="13.5" customHeight="1">
      <c r="A23" s="267"/>
      <c r="B23" s="29" t="s">
        <v>56</v>
      </c>
      <c r="C23" s="18">
        <v>0</v>
      </c>
      <c r="D23" s="30">
        <v>0</v>
      </c>
      <c r="E23" s="30">
        <v>0</v>
      </c>
      <c r="F23" s="30">
        <v>0</v>
      </c>
      <c r="G23" s="30">
        <v>0</v>
      </c>
      <c r="H23" s="19">
        <v>0</v>
      </c>
      <c r="I23" s="30">
        <v>0</v>
      </c>
      <c r="J23" s="19">
        <v>0</v>
      </c>
      <c r="K23" s="19">
        <v>0</v>
      </c>
      <c r="L23" s="19">
        <v>0</v>
      </c>
      <c r="M23" s="19">
        <v>0</v>
      </c>
      <c r="N23" s="30">
        <v>0</v>
      </c>
    </row>
    <row r="24" spans="1:19" ht="13.5" customHeight="1">
      <c r="A24" s="267"/>
      <c r="B24" s="29" t="s">
        <v>57</v>
      </c>
      <c r="C24" s="18">
        <v>17412</v>
      </c>
      <c r="D24" s="30">
        <v>25637</v>
      </c>
      <c r="E24" s="30">
        <v>0</v>
      </c>
      <c r="F24" s="30">
        <v>0</v>
      </c>
      <c r="G24" s="30">
        <v>0</v>
      </c>
      <c r="H24" s="19">
        <v>57539</v>
      </c>
      <c r="I24" s="30">
        <v>0</v>
      </c>
      <c r="J24" s="19">
        <v>0</v>
      </c>
      <c r="K24" s="19">
        <v>7360</v>
      </c>
      <c r="L24" s="19">
        <v>0</v>
      </c>
      <c r="M24" s="19">
        <v>75903</v>
      </c>
      <c r="N24" s="30">
        <v>12320</v>
      </c>
    </row>
    <row r="25" spans="1:19" ht="13.5" customHeight="1">
      <c r="A25" s="267"/>
      <c r="B25" s="29" t="s">
        <v>58</v>
      </c>
      <c r="C25" s="18">
        <v>0</v>
      </c>
      <c r="D25" s="30">
        <v>0</v>
      </c>
      <c r="E25" s="30">
        <v>0</v>
      </c>
      <c r="F25" s="30">
        <v>0</v>
      </c>
      <c r="G25" s="30">
        <v>0</v>
      </c>
      <c r="H25" s="19">
        <v>0</v>
      </c>
      <c r="I25" s="30">
        <v>3000</v>
      </c>
      <c r="J25" s="19">
        <v>0</v>
      </c>
      <c r="K25" s="19">
        <v>0</v>
      </c>
      <c r="L25" s="19">
        <v>0</v>
      </c>
      <c r="M25" s="19">
        <v>0</v>
      </c>
      <c r="N25" s="30">
        <v>10548</v>
      </c>
    </row>
    <row r="26" spans="1:19" ht="13.5" customHeight="1">
      <c r="A26" s="267"/>
      <c r="B26" s="29" t="s">
        <v>59</v>
      </c>
      <c r="C26" s="18">
        <v>0</v>
      </c>
      <c r="D26" s="30">
        <v>0</v>
      </c>
      <c r="E26" s="30">
        <v>0</v>
      </c>
      <c r="F26" s="30">
        <v>0</v>
      </c>
      <c r="G26" s="30">
        <v>0</v>
      </c>
      <c r="H26" s="19">
        <v>0</v>
      </c>
      <c r="I26" s="30">
        <v>0</v>
      </c>
      <c r="J26" s="19">
        <v>0</v>
      </c>
      <c r="K26" s="19">
        <v>0</v>
      </c>
      <c r="L26" s="19">
        <v>0</v>
      </c>
      <c r="M26" s="19">
        <v>0</v>
      </c>
      <c r="N26" s="30">
        <v>80</v>
      </c>
    </row>
    <row r="27" spans="1:19" ht="13.5" customHeight="1">
      <c r="A27" s="267"/>
      <c r="B27" s="29" t="s">
        <v>60</v>
      </c>
      <c r="C27" s="18">
        <v>46972</v>
      </c>
      <c r="D27" s="30">
        <v>159472</v>
      </c>
      <c r="E27" s="30">
        <v>5289.77</v>
      </c>
      <c r="F27" s="30">
        <v>0</v>
      </c>
      <c r="G27" s="30">
        <v>0</v>
      </c>
      <c r="H27" s="19">
        <v>156042</v>
      </c>
      <c r="I27" s="30">
        <v>0</v>
      </c>
      <c r="J27" s="19">
        <v>66708.53</v>
      </c>
      <c r="K27" s="19">
        <v>82108</v>
      </c>
      <c r="L27" s="19">
        <v>56050</v>
      </c>
      <c r="M27" s="19">
        <v>37029.5</v>
      </c>
      <c r="N27" s="30">
        <v>15305</v>
      </c>
    </row>
    <row r="28" spans="1:19" ht="13.5" customHeight="1">
      <c r="A28" s="267"/>
      <c r="B28" s="29" t="s">
        <v>61</v>
      </c>
      <c r="C28" s="18">
        <v>21479</v>
      </c>
      <c r="D28" s="30">
        <v>0</v>
      </c>
      <c r="E28" s="30">
        <v>0</v>
      </c>
      <c r="F28" s="30">
        <v>0</v>
      </c>
      <c r="G28" s="30">
        <v>0</v>
      </c>
      <c r="H28" s="19">
        <v>190</v>
      </c>
      <c r="I28" s="30">
        <v>207543.11000000002</v>
      </c>
      <c r="J28" s="19">
        <v>0</v>
      </c>
      <c r="K28" s="19">
        <v>39217</v>
      </c>
      <c r="L28" s="19">
        <v>63620</v>
      </c>
      <c r="M28" s="19">
        <v>75896.350000000006</v>
      </c>
      <c r="N28" s="30">
        <v>34762</v>
      </c>
    </row>
    <row r="29" spans="1:19" ht="13.5" customHeight="1">
      <c r="A29" s="267"/>
      <c r="B29" s="29" t="s">
        <v>62</v>
      </c>
      <c r="C29" s="18">
        <v>171300</v>
      </c>
      <c r="D29" s="30">
        <v>368028</v>
      </c>
      <c r="E29" s="30">
        <v>20597.310000000001</v>
      </c>
      <c r="F29" s="30">
        <v>5</v>
      </c>
      <c r="G29" s="30">
        <v>0</v>
      </c>
      <c r="H29" s="19">
        <v>1760</v>
      </c>
      <c r="I29" s="30">
        <v>5641.34</v>
      </c>
      <c r="J29" s="19">
        <v>55533</v>
      </c>
      <c r="K29" s="19">
        <v>115653</v>
      </c>
      <c r="L29" s="19">
        <v>99840</v>
      </c>
      <c r="M29" s="19">
        <v>126571.87</v>
      </c>
      <c r="N29" s="30">
        <v>70806</v>
      </c>
      <c r="Q29" s="20">
        <f>SUM(C29:J29)</f>
        <v>622864.65</v>
      </c>
    </row>
    <row r="30" spans="1:19" ht="13.5" customHeight="1">
      <c r="A30" s="267"/>
      <c r="B30" s="29" t="s">
        <v>63</v>
      </c>
      <c r="C30" s="18">
        <v>29604</v>
      </c>
      <c r="D30" s="30">
        <v>15057</v>
      </c>
      <c r="E30" s="30">
        <v>0</v>
      </c>
      <c r="F30" s="30">
        <v>535</v>
      </c>
      <c r="G30" s="30">
        <v>0</v>
      </c>
      <c r="H30" s="19">
        <v>-214</v>
      </c>
      <c r="I30" s="30">
        <v>60</v>
      </c>
      <c r="J30" s="19">
        <v>0</v>
      </c>
      <c r="K30" s="19">
        <v>0</v>
      </c>
      <c r="L30" s="19">
        <v>0</v>
      </c>
      <c r="M30" s="19">
        <v>1855.05</v>
      </c>
      <c r="N30" s="30">
        <v>2364</v>
      </c>
      <c r="Q30" s="20">
        <f>SUM(C30:J30)</f>
        <v>45042</v>
      </c>
    </row>
    <row r="31" spans="1:19" ht="13.5" customHeight="1">
      <c r="A31" s="267"/>
      <c r="B31" s="29" t="s">
        <v>64</v>
      </c>
      <c r="C31" s="16">
        <v>963.93</v>
      </c>
      <c r="D31" s="31">
        <v>23788</v>
      </c>
      <c r="E31" s="31">
        <v>42326.16</v>
      </c>
      <c r="F31" s="31">
        <v>36173</v>
      </c>
      <c r="G31" s="31">
        <v>52601</v>
      </c>
      <c r="H31" s="17">
        <v>251</v>
      </c>
      <c r="I31" s="31">
        <v>55843.8</v>
      </c>
      <c r="J31" s="17">
        <v>28844.390000000003</v>
      </c>
      <c r="K31" s="17">
        <v>6322</v>
      </c>
      <c r="L31" s="17">
        <v>265.24</v>
      </c>
      <c r="M31" s="17">
        <v>9231.619999999999</v>
      </c>
      <c r="N31" s="31">
        <v>6736</v>
      </c>
      <c r="O31" s="20"/>
      <c r="Q31" s="20">
        <f>SUM(C31:J31)</f>
        <v>240791.28000000003</v>
      </c>
      <c r="R31" s="20">
        <f>+Q31+Q30+Q9</f>
        <v>215730.72000000003</v>
      </c>
      <c r="S31" s="10" t="s">
        <v>65</v>
      </c>
    </row>
    <row r="32" spans="1:19" s="22" customFormat="1" ht="13.5" customHeight="1" thickBot="1">
      <c r="A32" s="263" t="s">
        <v>66</v>
      </c>
      <c r="B32" s="32"/>
      <c r="C32" s="33">
        <f>SUM(C16:C31)</f>
        <v>503019.93</v>
      </c>
      <c r="D32" s="33">
        <f>SUM(D16:D31)</f>
        <v>838044</v>
      </c>
      <c r="E32" s="33">
        <f>SUM(E16:E31)</f>
        <v>69382.240000000005</v>
      </c>
      <c r="F32" s="33">
        <f>SUM(F16:F31)</f>
        <v>36713</v>
      </c>
      <c r="G32" s="33">
        <f t="shared" ref="G32:N32" si="2">SUM(G16:G31)</f>
        <v>52601</v>
      </c>
      <c r="H32" s="33">
        <f t="shared" si="2"/>
        <v>827435</v>
      </c>
      <c r="I32" s="33">
        <f t="shared" si="2"/>
        <v>502865.71000000008</v>
      </c>
      <c r="J32" s="33">
        <f t="shared" si="2"/>
        <v>295661.92000000004</v>
      </c>
      <c r="K32" s="33">
        <f t="shared" si="2"/>
        <v>449891</v>
      </c>
      <c r="L32" s="33">
        <f t="shared" si="2"/>
        <v>432742.24</v>
      </c>
      <c r="M32" s="33">
        <f t="shared" si="2"/>
        <v>561418.67000000004</v>
      </c>
      <c r="N32" s="33">
        <f t="shared" si="2"/>
        <v>227671</v>
      </c>
      <c r="O32" s="34">
        <f>AVERAGE(C32:N32)</f>
        <v>399787.14250000002</v>
      </c>
      <c r="P32" s="34"/>
      <c r="Q32" s="34">
        <f>SUM(C32:J32)+SUM(C12:J14)</f>
        <v>4544872.67</v>
      </c>
      <c r="R32" s="22" t="s">
        <v>67</v>
      </c>
    </row>
    <row r="33" spans="1:17" ht="13.5" customHeight="1">
      <c r="A33" s="266" t="s">
        <v>68</v>
      </c>
      <c r="B33" s="25"/>
      <c r="C33" s="26"/>
      <c r="D33" s="27"/>
      <c r="E33" s="27"/>
      <c r="F33" s="27"/>
      <c r="G33" s="27"/>
      <c r="H33" s="28"/>
      <c r="I33" s="27"/>
      <c r="J33" s="28"/>
      <c r="K33" s="28"/>
      <c r="L33" s="28"/>
      <c r="M33" s="28"/>
      <c r="N33" s="27"/>
    </row>
    <row r="34" spans="1:17" ht="13.5" customHeight="1">
      <c r="A34" s="267"/>
      <c r="B34" s="29" t="s">
        <v>69</v>
      </c>
      <c r="C34" s="18">
        <v>168429.68</v>
      </c>
      <c r="D34" s="30">
        <v>265872</v>
      </c>
      <c r="E34" s="30">
        <v>30433.39</v>
      </c>
      <c r="F34" s="30">
        <v>206231</v>
      </c>
      <c r="G34" s="30">
        <v>78854</v>
      </c>
      <c r="H34" s="19">
        <v>273884</v>
      </c>
      <c r="I34" s="30">
        <v>116036.64</v>
      </c>
      <c r="J34" s="19">
        <v>175127</v>
      </c>
      <c r="K34" s="19">
        <v>217531</v>
      </c>
      <c r="L34" s="19">
        <v>147911</v>
      </c>
      <c r="M34" s="19">
        <v>214914.69</v>
      </c>
      <c r="N34" s="30">
        <v>167403</v>
      </c>
      <c r="Q34" s="20">
        <f>SUM(C34:J34)</f>
        <v>1314867.71</v>
      </c>
    </row>
    <row r="35" spans="1:17" ht="13.5" customHeight="1">
      <c r="A35" s="267"/>
      <c r="B35" s="29" t="s">
        <v>70</v>
      </c>
      <c r="C35" s="18">
        <v>284466.17</v>
      </c>
      <c r="D35" s="30">
        <v>353952</v>
      </c>
      <c r="E35" s="30">
        <v>28098.92</v>
      </c>
      <c r="F35" s="30">
        <v>7933</v>
      </c>
      <c r="G35" s="30">
        <v>0</v>
      </c>
      <c r="H35" s="19">
        <v>16971</v>
      </c>
      <c r="I35" s="30">
        <v>196534.37</v>
      </c>
      <c r="J35" s="19">
        <v>115130</v>
      </c>
      <c r="K35" s="19">
        <v>143135</v>
      </c>
      <c r="L35" s="19">
        <v>138251</v>
      </c>
      <c r="M35" s="19">
        <v>243006.27</v>
      </c>
      <c r="N35" s="30">
        <v>176624</v>
      </c>
      <c r="Q35" s="20">
        <f>SUM(C35:J35)</f>
        <v>1003085.46</v>
      </c>
    </row>
    <row r="36" spans="1:17" ht="13.5" customHeight="1">
      <c r="A36" s="267"/>
      <c r="B36" s="29" t="s">
        <v>71</v>
      </c>
      <c r="C36" s="18">
        <v>23436</v>
      </c>
      <c r="D36" s="30">
        <v>48889</v>
      </c>
      <c r="E36" s="30">
        <v>54</v>
      </c>
      <c r="F36" s="30">
        <v>3236</v>
      </c>
      <c r="G36" s="30">
        <v>0</v>
      </c>
      <c r="H36" s="19">
        <v>108369</v>
      </c>
      <c r="I36" s="30">
        <v>1447.42</v>
      </c>
      <c r="J36" s="19">
        <v>3762.76</v>
      </c>
      <c r="K36" s="19">
        <v>23561</v>
      </c>
      <c r="L36" s="19">
        <v>16504</v>
      </c>
      <c r="M36" s="19">
        <v>14316.39</v>
      </c>
      <c r="N36" s="30">
        <v>3159</v>
      </c>
    </row>
    <row r="37" spans="1:17" ht="13.5" customHeight="1">
      <c r="A37" s="267"/>
      <c r="B37" s="29" t="s">
        <v>72</v>
      </c>
      <c r="C37" s="18">
        <v>13210</v>
      </c>
      <c r="D37" s="30">
        <v>37378</v>
      </c>
      <c r="E37" s="30">
        <v>0</v>
      </c>
      <c r="F37" s="30">
        <v>0</v>
      </c>
      <c r="G37" s="30">
        <v>0</v>
      </c>
      <c r="H37" s="19"/>
      <c r="I37" s="30"/>
      <c r="J37" s="19">
        <v>10888</v>
      </c>
      <c r="K37" s="19">
        <v>20074</v>
      </c>
      <c r="L37" s="19">
        <v>10667</v>
      </c>
      <c r="M37" s="19">
        <v>0</v>
      </c>
      <c r="N37" s="30">
        <v>8648</v>
      </c>
    </row>
    <row r="38" spans="1:17" ht="13.5" customHeight="1">
      <c r="A38" s="267"/>
      <c r="B38" s="29" t="s">
        <v>60</v>
      </c>
      <c r="C38" s="18">
        <v>11816</v>
      </c>
      <c r="D38" s="30">
        <v>21737</v>
      </c>
      <c r="E38" s="30">
        <v>0</v>
      </c>
      <c r="F38" s="30">
        <v>210</v>
      </c>
      <c r="G38" s="30">
        <v>5620</v>
      </c>
      <c r="H38" s="19">
        <v>20490</v>
      </c>
      <c r="I38" s="30">
        <v>39872</v>
      </c>
      <c r="J38" s="19">
        <v>5702.6</v>
      </c>
      <c r="K38" s="19">
        <v>26330</v>
      </c>
      <c r="L38" s="19">
        <v>33782</v>
      </c>
      <c r="M38" s="19">
        <v>39536.080000000002</v>
      </c>
      <c r="N38" s="30">
        <v>5253</v>
      </c>
    </row>
    <row r="39" spans="1:17" ht="13.5" customHeight="1">
      <c r="A39" s="267"/>
      <c r="B39" s="29" t="s">
        <v>73</v>
      </c>
      <c r="C39" s="18">
        <v>17140</v>
      </c>
      <c r="D39" s="30">
        <v>0</v>
      </c>
      <c r="E39" s="30">
        <v>0</v>
      </c>
      <c r="F39" s="30">
        <v>151</v>
      </c>
      <c r="G39" s="30">
        <v>0</v>
      </c>
      <c r="H39" s="19">
        <v>1448</v>
      </c>
      <c r="I39" s="30">
        <v>9101.8799999999992</v>
      </c>
      <c r="J39" s="19">
        <v>-1753</v>
      </c>
      <c r="K39" s="19">
        <v>22463</v>
      </c>
      <c r="L39" s="19">
        <v>35489</v>
      </c>
      <c r="M39" s="19">
        <v>81497.399999999994</v>
      </c>
      <c r="N39" s="30">
        <v>14255</v>
      </c>
    </row>
    <row r="40" spans="1:17" ht="13.5" customHeight="1">
      <c r="A40" s="267"/>
      <c r="B40" s="29" t="s">
        <v>74</v>
      </c>
      <c r="C40" s="18">
        <v>27975</v>
      </c>
      <c r="D40" s="30">
        <v>24950</v>
      </c>
      <c r="E40" s="30">
        <v>0</v>
      </c>
      <c r="F40" s="30">
        <v>16468</v>
      </c>
      <c r="G40" s="30">
        <v>0</v>
      </c>
      <c r="H40" s="19"/>
      <c r="I40" s="30"/>
      <c r="J40" s="19">
        <v>1056.2</v>
      </c>
      <c r="K40" s="19">
        <v>14713</v>
      </c>
      <c r="L40" s="19">
        <v>37497</v>
      </c>
      <c r="M40" s="19">
        <v>23655.68</v>
      </c>
      <c r="N40" s="30">
        <v>10925</v>
      </c>
    </row>
    <row r="41" spans="1:17" ht="13.5" customHeight="1">
      <c r="A41" s="267"/>
      <c r="B41" s="29" t="s">
        <v>53</v>
      </c>
      <c r="C41" s="18">
        <v>15846</v>
      </c>
      <c r="D41" s="30">
        <v>36756</v>
      </c>
      <c r="E41" s="30">
        <v>0</v>
      </c>
      <c r="F41" s="30">
        <v>65604</v>
      </c>
      <c r="G41" s="30">
        <v>0</v>
      </c>
      <c r="H41" s="19">
        <v>51361</v>
      </c>
      <c r="I41" s="30">
        <v>37.29</v>
      </c>
      <c r="J41" s="19">
        <v>1728.01</v>
      </c>
      <c r="K41" s="19">
        <v>8384</v>
      </c>
      <c r="L41" s="19">
        <v>32853</v>
      </c>
      <c r="M41" s="19">
        <v>19766.150000000001</v>
      </c>
      <c r="N41" s="30">
        <v>39538</v>
      </c>
    </row>
    <row r="42" spans="1:17" ht="13.5" customHeight="1">
      <c r="A42" s="267"/>
      <c r="B42" s="29" t="s">
        <v>54</v>
      </c>
      <c r="C42" s="18">
        <v>0</v>
      </c>
      <c r="D42" s="30">
        <v>31765</v>
      </c>
      <c r="E42" s="30">
        <v>0</v>
      </c>
      <c r="F42" s="30">
        <v>0</v>
      </c>
      <c r="G42" s="30">
        <v>0</v>
      </c>
      <c r="H42" s="19">
        <v>1146</v>
      </c>
      <c r="I42" s="30"/>
      <c r="J42" s="19">
        <v>0</v>
      </c>
      <c r="K42" s="19">
        <v>0</v>
      </c>
      <c r="L42" s="19">
        <v>442</v>
      </c>
      <c r="M42" s="19">
        <v>0</v>
      </c>
      <c r="N42" s="30">
        <v>360</v>
      </c>
    </row>
    <row r="43" spans="1:17" ht="13.5" customHeight="1">
      <c r="A43" s="267"/>
      <c r="B43" s="29" t="s">
        <v>55</v>
      </c>
      <c r="C43" s="18">
        <v>0</v>
      </c>
      <c r="D43" s="30">
        <v>0</v>
      </c>
      <c r="E43" s="30">
        <v>0</v>
      </c>
      <c r="F43" s="30">
        <v>0</v>
      </c>
      <c r="G43" s="30">
        <v>0</v>
      </c>
      <c r="H43" s="19"/>
      <c r="I43" s="30"/>
      <c r="J43" s="19">
        <v>0</v>
      </c>
      <c r="K43" s="19">
        <v>0</v>
      </c>
      <c r="L43" s="19">
        <v>0</v>
      </c>
      <c r="M43" s="19">
        <v>0</v>
      </c>
      <c r="N43" s="30">
        <v>0</v>
      </c>
    </row>
    <row r="44" spans="1:17" ht="13.5" customHeight="1">
      <c r="A44" s="267"/>
      <c r="B44" s="29" t="s">
        <v>56</v>
      </c>
      <c r="C44" s="18">
        <v>0</v>
      </c>
      <c r="D44" s="30">
        <v>0</v>
      </c>
      <c r="E44" s="30">
        <v>0</v>
      </c>
      <c r="F44" s="30">
        <v>0</v>
      </c>
      <c r="G44" s="30">
        <v>0</v>
      </c>
      <c r="H44" s="19"/>
      <c r="I44" s="30">
        <v>51657.599999999999</v>
      </c>
      <c r="J44" s="19">
        <v>0</v>
      </c>
      <c r="K44" s="19">
        <v>0</v>
      </c>
      <c r="L44" s="19">
        <v>0</v>
      </c>
      <c r="M44" s="19">
        <v>0</v>
      </c>
      <c r="N44" s="30">
        <v>0</v>
      </c>
    </row>
    <row r="45" spans="1:17" ht="13.5" customHeight="1">
      <c r="A45" s="267"/>
      <c r="B45" s="29" t="s">
        <v>75</v>
      </c>
      <c r="C45" s="18">
        <v>75254</v>
      </c>
      <c r="D45" s="30">
        <v>79085</v>
      </c>
      <c r="E45" s="30">
        <v>0</v>
      </c>
      <c r="F45" s="30">
        <v>10320</v>
      </c>
      <c r="G45" s="30">
        <v>0</v>
      </c>
      <c r="H45" s="19">
        <v>301200</v>
      </c>
      <c r="I45" s="30">
        <v>39250</v>
      </c>
      <c r="J45" s="19">
        <v>29487.75</v>
      </c>
      <c r="K45" s="19">
        <v>78693</v>
      </c>
      <c r="L45" s="19">
        <v>43683</v>
      </c>
      <c r="M45" s="19">
        <v>84382.67</v>
      </c>
      <c r="N45" s="30">
        <v>13090</v>
      </c>
    </row>
    <row r="46" spans="1:17" ht="13.5" customHeight="1">
      <c r="A46" s="267"/>
      <c r="B46" s="29" t="s">
        <v>58</v>
      </c>
      <c r="C46" s="18">
        <v>0</v>
      </c>
      <c r="D46" s="30">
        <v>0</v>
      </c>
      <c r="E46" s="30">
        <v>0</v>
      </c>
      <c r="F46" s="30">
        <v>0</v>
      </c>
      <c r="G46" s="30">
        <v>0</v>
      </c>
      <c r="H46" s="19"/>
      <c r="I46" s="30">
        <v>17245.16</v>
      </c>
      <c r="J46" s="19">
        <v>0</v>
      </c>
      <c r="K46" s="19">
        <v>0</v>
      </c>
      <c r="L46" s="19">
        <v>0</v>
      </c>
      <c r="M46" s="19">
        <v>0</v>
      </c>
      <c r="N46" s="30">
        <v>0</v>
      </c>
    </row>
    <row r="47" spans="1:17" ht="13.5" customHeight="1">
      <c r="A47" s="267"/>
      <c r="B47" s="29" t="s">
        <v>76</v>
      </c>
      <c r="C47" s="18">
        <v>0</v>
      </c>
      <c r="D47" s="30">
        <v>31024</v>
      </c>
      <c r="E47" s="30">
        <v>0</v>
      </c>
      <c r="F47" s="30">
        <v>0</v>
      </c>
      <c r="G47" s="30">
        <v>0</v>
      </c>
      <c r="H47" s="19"/>
      <c r="I47" s="30">
        <v>47059.41</v>
      </c>
      <c r="J47" s="19">
        <v>0</v>
      </c>
      <c r="K47" s="19">
        <v>0</v>
      </c>
      <c r="L47" s="19">
        <v>0</v>
      </c>
      <c r="M47" s="19">
        <v>0</v>
      </c>
      <c r="N47" s="30">
        <v>2988</v>
      </c>
    </row>
    <row r="48" spans="1:17" ht="13.5" customHeight="1">
      <c r="A48" s="267"/>
      <c r="B48" s="29" t="s">
        <v>77</v>
      </c>
      <c r="C48" s="18">
        <v>0</v>
      </c>
      <c r="D48" s="30">
        <v>1135</v>
      </c>
      <c r="E48" s="30">
        <v>0</v>
      </c>
      <c r="F48" s="30">
        <v>0</v>
      </c>
      <c r="G48" s="30">
        <v>0</v>
      </c>
      <c r="H48" s="19">
        <v>66219</v>
      </c>
      <c r="I48" s="30"/>
      <c r="J48" s="19">
        <v>0</v>
      </c>
      <c r="K48" s="19">
        <v>0</v>
      </c>
      <c r="L48" s="19">
        <v>0</v>
      </c>
      <c r="M48" s="19">
        <v>9114.24</v>
      </c>
      <c r="N48" s="30">
        <v>0</v>
      </c>
    </row>
    <row r="49" spans="1:17" ht="13.5" customHeight="1">
      <c r="A49" s="267"/>
      <c r="B49" s="29" t="s">
        <v>78</v>
      </c>
      <c r="C49" s="18">
        <v>-20845.939999999999</v>
      </c>
      <c r="D49" s="30">
        <v>4201</v>
      </c>
      <c r="E49" s="18">
        <v>6141.31</v>
      </c>
      <c r="F49" s="30">
        <v>1838</v>
      </c>
      <c r="G49" s="30">
        <v>0</v>
      </c>
      <c r="H49" s="19">
        <v>-3191</v>
      </c>
      <c r="I49" s="30"/>
      <c r="J49" s="19">
        <v>-194</v>
      </c>
      <c r="K49" s="19">
        <v>-26551</v>
      </c>
      <c r="L49" s="19">
        <v>0</v>
      </c>
      <c r="M49" s="19">
        <v>1918.41</v>
      </c>
      <c r="N49" s="30">
        <v>11094</v>
      </c>
    </row>
    <row r="50" spans="1:17" ht="13.5" customHeight="1">
      <c r="A50" s="267"/>
      <c r="B50" s="29" t="s">
        <v>79</v>
      </c>
      <c r="C50" s="18">
        <v>0</v>
      </c>
      <c r="D50" s="30">
        <v>-612</v>
      </c>
      <c r="E50" s="30">
        <v>0</v>
      </c>
      <c r="F50" s="30">
        <v>0</v>
      </c>
      <c r="G50" s="30">
        <v>0</v>
      </c>
      <c r="H50" s="19"/>
      <c r="I50" s="30"/>
      <c r="J50" s="19">
        <v>71</v>
      </c>
      <c r="K50" s="19">
        <v>205</v>
      </c>
      <c r="L50" s="19">
        <v>0</v>
      </c>
      <c r="M50" s="19">
        <v>0</v>
      </c>
      <c r="N50" s="30">
        <v>268</v>
      </c>
    </row>
    <row r="51" spans="1:17" ht="13.5" customHeight="1">
      <c r="A51" s="267"/>
      <c r="B51" s="29" t="s">
        <v>80</v>
      </c>
      <c r="C51" s="18">
        <v>8916.32</v>
      </c>
      <c r="D51" s="30">
        <v>19645</v>
      </c>
      <c r="E51" s="30">
        <v>3471.97</v>
      </c>
      <c r="F51" s="30">
        <v>0</v>
      </c>
      <c r="G51" s="30">
        <v>0</v>
      </c>
      <c r="H51" s="19"/>
      <c r="I51" s="30"/>
      <c r="J51" s="19">
        <v>-322.72000000000003</v>
      </c>
      <c r="K51" s="19">
        <v>0</v>
      </c>
      <c r="L51" s="19">
        <v>0</v>
      </c>
      <c r="M51" s="19">
        <v>1391</v>
      </c>
      <c r="N51" s="30">
        <v>84639</v>
      </c>
    </row>
    <row r="52" spans="1:17" s="22" customFormat="1" ht="13.5" customHeight="1" thickBot="1">
      <c r="A52" s="263" t="s">
        <v>81</v>
      </c>
      <c r="B52" s="32"/>
      <c r="C52" s="35">
        <f t="shared" ref="C52:L52" si="3">SUM(C34:C51)</f>
        <v>625643.23</v>
      </c>
      <c r="D52" s="35">
        <f t="shared" si="3"/>
        <v>955777</v>
      </c>
      <c r="E52" s="35">
        <f t="shared" si="3"/>
        <v>68199.59</v>
      </c>
      <c r="F52" s="35">
        <f t="shared" si="3"/>
        <v>311991</v>
      </c>
      <c r="G52" s="35">
        <f t="shared" si="3"/>
        <v>84474</v>
      </c>
      <c r="H52" s="35">
        <f t="shared" si="3"/>
        <v>837897</v>
      </c>
      <c r="I52" s="35">
        <f t="shared" si="3"/>
        <v>518241.7699999999</v>
      </c>
      <c r="J52" s="35">
        <f t="shared" si="3"/>
        <v>340683.60000000003</v>
      </c>
      <c r="K52" s="35">
        <f t="shared" si="3"/>
        <v>528538</v>
      </c>
      <c r="L52" s="35">
        <f t="shared" si="3"/>
        <v>497079</v>
      </c>
      <c r="M52" s="35">
        <f>SUM(M34:M51)</f>
        <v>733498.9800000001</v>
      </c>
      <c r="N52" s="35">
        <f>SUM(N34:N51)</f>
        <v>538244</v>
      </c>
      <c r="O52" s="34">
        <f>AVERAGE(C52:N52)</f>
        <v>503355.59750000009</v>
      </c>
      <c r="P52" s="34"/>
      <c r="Q52" s="34">
        <f>SUM(C52:J52)+SUM(C54:J54)</f>
        <v>4015871.1700000004</v>
      </c>
    </row>
    <row r="53" spans="1:17" ht="13.5" customHeight="1">
      <c r="A53" s="266" t="s">
        <v>82</v>
      </c>
      <c r="B53" s="25"/>
      <c r="C53" s="16"/>
      <c r="D53" s="31"/>
      <c r="E53" s="31"/>
      <c r="F53" s="31"/>
      <c r="G53" s="31"/>
      <c r="H53" s="17"/>
      <c r="I53" s="31"/>
      <c r="J53" s="17"/>
      <c r="K53" s="17"/>
      <c r="L53" s="17"/>
      <c r="M53" s="17"/>
      <c r="N53" s="31"/>
    </row>
    <row r="54" spans="1:17" s="22" customFormat="1" ht="13.5" customHeight="1">
      <c r="A54" s="264"/>
      <c r="B54" s="23" t="s">
        <v>83</v>
      </c>
      <c r="C54" s="24">
        <v>55966.95</v>
      </c>
      <c r="D54" s="24">
        <v>100019</v>
      </c>
      <c r="E54" s="24">
        <v>26646.03</v>
      </c>
      <c r="F54" s="24">
        <v>0</v>
      </c>
      <c r="G54" s="24">
        <v>0</v>
      </c>
      <c r="H54" s="24">
        <v>1945</v>
      </c>
      <c r="I54" s="24">
        <v>73387</v>
      </c>
      <c r="J54" s="24">
        <v>15000</v>
      </c>
      <c r="K54" s="24">
        <v>133252</v>
      </c>
      <c r="L54" s="24">
        <v>52968</v>
      </c>
      <c r="M54" s="24">
        <v>18038</v>
      </c>
      <c r="N54" s="24">
        <v>53810</v>
      </c>
      <c r="Q54" s="20">
        <f>SUM(C54:J54)</f>
        <v>272963.98</v>
      </c>
    </row>
    <row r="55" spans="1:17" s="22" customFormat="1" ht="13.5" customHeight="1">
      <c r="A55" s="268"/>
      <c r="B55" s="36" t="s">
        <v>201</v>
      </c>
      <c r="C55" s="24">
        <v>68449</v>
      </c>
      <c r="D55" s="24">
        <v>-31788</v>
      </c>
      <c r="E55" s="24">
        <v>-190860</v>
      </c>
      <c r="F55" s="24">
        <v>50883</v>
      </c>
      <c r="G55" s="24">
        <v>0</v>
      </c>
      <c r="H55" s="24">
        <v>0</v>
      </c>
      <c r="I55" s="24">
        <v>0</v>
      </c>
      <c r="J55" s="24">
        <v>-23314.61</v>
      </c>
      <c r="K55" s="24">
        <v>0</v>
      </c>
      <c r="L55" s="24">
        <v>-12481</v>
      </c>
      <c r="M55" s="24">
        <v>0</v>
      </c>
      <c r="N55" s="24">
        <v>0</v>
      </c>
      <c r="Q55" s="20">
        <f>SUM(C55:J55)</f>
        <v>-126630.61</v>
      </c>
    </row>
    <row r="56" spans="1:17" s="22" customFormat="1" ht="13.5" customHeight="1">
      <c r="A56" s="268"/>
      <c r="B56" s="36" t="s">
        <v>229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Q56" s="20">
        <f>SUM(C56:J56)</f>
        <v>0</v>
      </c>
    </row>
    <row r="57" spans="1:17" s="22" customFormat="1" ht="13.5" customHeight="1">
      <c r="A57" s="241" t="s">
        <v>230</v>
      </c>
      <c r="B57" s="36"/>
      <c r="C57" s="24">
        <f t="shared" ref="C57:L57" si="4">+C32-C52</f>
        <v>-122623.29999999999</v>
      </c>
      <c r="D57" s="24">
        <f t="shared" si="4"/>
        <v>-117733</v>
      </c>
      <c r="E57" s="24">
        <f t="shared" si="4"/>
        <v>1182.6500000000087</v>
      </c>
      <c r="F57" s="24">
        <f t="shared" si="4"/>
        <v>-275278</v>
      </c>
      <c r="G57" s="24">
        <f t="shared" si="4"/>
        <v>-31873</v>
      </c>
      <c r="H57" s="24">
        <f t="shared" si="4"/>
        <v>-10462</v>
      </c>
      <c r="I57" s="24">
        <f t="shared" si="4"/>
        <v>-15376.059999999823</v>
      </c>
      <c r="J57" s="24">
        <f t="shared" ref="J57" si="5">+J32-J52</f>
        <v>-45021.679999999993</v>
      </c>
      <c r="K57" s="24">
        <f t="shared" si="4"/>
        <v>-78647</v>
      </c>
      <c r="L57" s="24">
        <f t="shared" si="4"/>
        <v>-64336.760000000009</v>
      </c>
      <c r="M57" s="24">
        <f>+M32-M52</f>
        <v>-172080.31000000006</v>
      </c>
      <c r="N57" s="24">
        <f>+N32-N52</f>
        <v>-310573</v>
      </c>
      <c r="O57" s="34">
        <f t="shared" ref="O57:O62" si="6">AVERAGE(C57:N57)</f>
        <v>-103568.45499999997</v>
      </c>
    </row>
    <row r="58" spans="1:17" s="22" customFormat="1" ht="13.5" customHeight="1">
      <c r="A58" s="241" t="s">
        <v>239</v>
      </c>
      <c r="B58" s="36"/>
      <c r="C58" s="24">
        <f>+C32-C52-C54</f>
        <v>-178590.25</v>
      </c>
      <c r="D58" s="24">
        <f t="shared" ref="D58:N58" si="7">+D32-D52-D54</f>
        <v>-217752</v>
      </c>
      <c r="E58" s="24">
        <f t="shared" si="7"/>
        <v>-25463.37999999999</v>
      </c>
      <c r="F58" s="24">
        <f t="shared" si="7"/>
        <v>-275278</v>
      </c>
      <c r="G58" s="24">
        <f t="shared" si="7"/>
        <v>-31873</v>
      </c>
      <c r="H58" s="24">
        <f t="shared" si="7"/>
        <v>-12407</v>
      </c>
      <c r="I58" s="24">
        <f t="shared" si="7"/>
        <v>-88763.059999999823</v>
      </c>
      <c r="J58" s="24">
        <f t="shared" si="7"/>
        <v>-60021.679999999993</v>
      </c>
      <c r="K58" s="24">
        <f t="shared" si="7"/>
        <v>-211899</v>
      </c>
      <c r="L58" s="24">
        <f t="shared" si="7"/>
        <v>-117304.76000000001</v>
      </c>
      <c r="M58" s="24">
        <f t="shared" si="7"/>
        <v>-190118.31000000006</v>
      </c>
      <c r="N58" s="24">
        <f t="shared" si="7"/>
        <v>-364383</v>
      </c>
      <c r="O58" s="34">
        <f t="shared" si="6"/>
        <v>-147821.12</v>
      </c>
    </row>
    <row r="59" spans="1:17" s="22" customFormat="1" ht="13.5" customHeight="1">
      <c r="A59" s="241" t="s">
        <v>231</v>
      </c>
      <c r="B59" s="36"/>
      <c r="C59" s="24">
        <f t="shared" ref="C59:N59" si="8">+C32-C52-SUM(C54:C56)</f>
        <v>-247039.25</v>
      </c>
      <c r="D59" s="24">
        <f t="shared" si="8"/>
        <v>-185964</v>
      </c>
      <c r="E59" s="24">
        <f t="shared" si="8"/>
        <v>165396.62</v>
      </c>
      <c r="F59" s="24">
        <f t="shared" si="8"/>
        <v>-326161</v>
      </c>
      <c r="G59" s="24">
        <f t="shared" si="8"/>
        <v>-31873</v>
      </c>
      <c r="H59" s="24">
        <f t="shared" si="8"/>
        <v>-12407</v>
      </c>
      <c r="I59" s="24">
        <f t="shared" si="8"/>
        <v>-88763.059999999823</v>
      </c>
      <c r="J59" s="24">
        <f t="shared" si="8"/>
        <v>-36707.069999999992</v>
      </c>
      <c r="K59" s="24">
        <f t="shared" si="8"/>
        <v>-211899</v>
      </c>
      <c r="L59" s="24">
        <f t="shared" si="8"/>
        <v>-104823.76000000001</v>
      </c>
      <c r="M59" s="24">
        <f t="shared" si="8"/>
        <v>-190118.31000000006</v>
      </c>
      <c r="N59" s="24">
        <f t="shared" si="8"/>
        <v>-364383</v>
      </c>
      <c r="O59" s="34">
        <f t="shared" si="6"/>
        <v>-136228.48583333331</v>
      </c>
    </row>
    <row r="60" spans="1:17" s="22" customFormat="1" ht="13.5" customHeight="1">
      <c r="A60" s="241" t="s">
        <v>232</v>
      </c>
      <c r="B60" s="36"/>
      <c r="C60" s="24">
        <f t="shared" ref="C60:N60" si="9">+C32+SUM(C12:C14)-C52</f>
        <v>1323.6500000000233</v>
      </c>
      <c r="D60" s="24">
        <f t="shared" si="9"/>
        <v>260947</v>
      </c>
      <c r="E60" s="24">
        <f t="shared" si="9"/>
        <v>400888.37</v>
      </c>
      <c r="F60" s="24">
        <f t="shared" si="9"/>
        <v>-55275</v>
      </c>
      <c r="G60" s="24">
        <f t="shared" si="9"/>
        <v>18538</v>
      </c>
      <c r="H60" s="24">
        <f t="shared" si="9"/>
        <v>-10462</v>
      </c>
      <c r="I60" s="24">
        <f t="shared" si="9"/>
        <v>39742.940000000177</v>
      </c>
      <c r="J60" s="24">
        <f t="shared" si="9"/>
        <v>146262.52000000002</v>
      </c>
      <c r="K60" s="24">
        <f t="shared" si="9"/>
        <v>-21473</v>
      </c>
      <c r="L60" s="24">
        <f t="shared" si="9"/>
        <v>95338.239999999991</v>
      </c>
      <c r="M60" s="24">
        <f t="shared" si="9"/>
        <v>-83913.550000000047</v>
      </c>
      <c r="N60" s="24">
        <f t="shared" si="9"/>
        <v>372262</v>
      </c>
      <c r="O60" s="34">
        <f t="shared" si="6"/>
        <v>97014.930833333347</v>
      </c>
      <c r="P60" s="34"/>
    </row>
    <row r="61" spans="1:17" s="22" customFormat="1" ht="13.5" customHeight="1">
      <c r="A61" s="241" t="s">
        <v>240</v>
      </c>
      <c r="B61" s="36"/>
      <c r="C61" s="24">
        <f>+C32+SUM(C12:C14)-C52-C54</f>
        <v>-54643.299999999974</v>
      </c>
      <c r="D61" s="24">
        <f t="shared" ref="D61:N61" si="10">+D32+SUM(D12:D14)-D52-D54</f>
        <v>160928</v>
      </c>
      <c r="E61" s="24">
        <f t="shared" si="10"/>
        <v>374242.33999999997</v>
      </c>
      <c r="F61" s="24">
        <f t="shared" si="10"/>
        <v>-55275</v>
      </c>
      <c r="G61" s="24">
        <f t="shared" si="10"/>
        <v>18538</v>
      </c>
      <c r="H61" s="24">
        <f t="shared" si="10"/>
        <v>-12407</v>
      </c>
      <c r="I61" s="24">
        <f t="shared" si="10"/>
        <v>-33644.059999999823</v>
      </c>
      <c r="J61" s="24">
        <f t="shared" si="10"/>
        <v>131262.52000000002</v>
      </c>
      <c r="K61" s="24">
        <f t="shared" si="10"/>
        <v>-154725</v>
      </c>
      <c r="L61" s="24">
        <f t="shared" si="10"/>
        <v>42370.239999999991</v>
      </c>
      <c r="M61" s="24">
        <f t="shared" si="10"/>
        <v>-101951.55000000005</v>
      </c>
      <c r="N61" s="24">
        <f t="shared" si="10"/>
        <v>318452</v>
      </c>
      <c r="O61" s="34">
        <f t="shared" si="6"/>
        <v>52762.265833333346</v>
      </c>
      <c r="P61" s="34"/>
    </row>
    <row r="62" spans="1:17" s="22" customFormat="1" ht="13.5" customHeight="1">
      <c r="A62" s="241" t="s">
        <v>233</v>
      </c>
      <c r="B62" s="36"/>
      <c r="C62" s="24">
        <f t="shared" ref="C62:N62" si="11">+C32+SUM(C12:C14)-C52-SUM(C54:C56)</f>
        <v>-123092.29999999997</v>
      </c>
      <c r="D62" s="24">
        <f t="shared" si="11"/>
        <v>192716</v>
      </c>
      <c r="E62" s="24">
        <f t="shared" si="11"/>
        <v>565102.34</v>
      </c>
      <c r="F62" s="24">
        <f t="shared" si="11"/>
        <v>-106158</v>
      </c>
      <c r="G62" s="24">
        <f t="shared" si="11"/>
        <v>18538</v>
      </c>
      <c r="H62" s="24">
        <f t="shared" si="11"/>
        <v>-12407</v>
      </c>
      <c r="I62" s="24">
        <f t="shared" si="11"/>
        <v>-33644.059999999823</v>
      </c>
      <c r="J62" s="24">
        <f t="shared" si="11"/>
        <v>154577.13</v>
      </c>
      <c r="K62" s="24">
        <f t="shared" si="11"/>
        <v>-154725</v>
      </c>
      <c r="L62" s="24">
        <f t="shared" si="11"/>
        <v>54851.239999999991</v>
      </c>
      <c r="M62" s="24">
        <f t="shared" si="11"/>
        <v>-101951.55000000005</v>
      </c>
      <c r="N62" s="24">
        <f t="shared" si="11"/>
        <v>318452</v>
      </c>
      <c r="O62" s="34">
        <f t="shared" si="6"/>
        <v>64354.900000000016</v>
      </c>
      <c r="P62" s="34"/>
      <c r="Q62" s="34">
        <f>SUM(C62:J62)</f>
        <v>655632.11000000022</v>
      </c>
    </row>
    <row r="63" spans="1:17" s="40" customFormat="1" ht="13.5" customHeight="1">
      <c r="A63" s="262" t="s">
        <v>228</v>
      </c>
      <c r="B63" s="12"/>
      <c r="C63" s="37"/>
      <c r="D63" s="38"/>
      <c r="E63" s="38"/>
      <c r="F63" s="38"/>
      <c r="G63" s="38"/>
      <c r="H63" s="39"/>
      <c r="I63" s="38"/>
      <c r="J63" s="38"/>
      <c r="K63" s="38"/>
      <c r="L63" s="39"/>
      <c r="M63" s="39"/>
      <c r="N63" s="38"/>
    </row>
    <row r="64" spans="1:17" s="212" customFormat="1" ht="13.5" customHeight="1">
      <c r="A64" s="269"/>
      <c r="B64" s="210" t="s">
        <v>40</v>
      </c>
      <c r="C64" s="17">
        <v>49725.880000000296</v>
      </c>
      <c r="D64" s="17">
        <v>140200</v>
      </c>
      <c r="E64" s="17">
        <v>97606</v>
      </c>
      <c r="F64" s="17">
        <v>-1550615</v>
      </c>
      <c r="G64" s="17">
        <v>-315457</v>
      </c>
      <c r="H64" s="17">
        <v>118236</v>
      </c>
      <c r="I64" s="17">
        <v>102312.14</v>
      </c>
      <c r="J64" s="17">
        <v>122175.09</v>
      </c>
      <c r="K64" s="17">
        <v>-70768</v>
      </c>
      <c r="L64" s="17">
        <v>585513</v>
      </c>
      <c r="M64" s="17">
        <v>305875.43</v>
      </c>
      <c r="N64" s="17">
        <v>196259</v>
      </c>
      <c r="O64" s="211">
        <f>SUM(C64:N64)/11</f>
        <v>-19903.405454545424</v>
      </c>
      <c r="P64" s="211"/>
    </row>
    <row r="65" spans="1:256" s="212" customFormat="1" ht="13.5" customHeight="1">
      <c r="A65" s="269"/>
      <c r="B65" s="210" t="s">
        <v>234</v>
      </c>
      <c r="C65" s="17">
        <v>-258688.08000000002</v>
      </c>
      <c r="D65" s="17">
        <v>-269696</v>
      </c>
      <c r="E65" s="17">
        <v>0</v>
      </c>
      <c r="F65" s="17">
        <v>-281935</v>
      </c>
      <c r="G65" s="17">
        <v>0</v>
      </c>
      <c r="H65" s="17">
        <v>0</v>
      </c>
      <c r="I65" s="17">
        <v>0</v>
      </c>
      <c r="J65" s="17">
        <v>-204877.72999999998</v>
      </c>
      <c r="K65" s="17">
        <v>0</v>
      </c>
      <c r="L65" s="17">
        <v>-147205</v>
      </c>
      <c r="M65" s="17">
        <v>0</v>
      </c>
      <c r="N65" s="17">
        <v>0</v>
      </c>
      <c r="O65" s="211"/>
      <c r="P65" s="211"/>
    </row>
    <row r="66" spans="1:256" s="48" customFormat="1" ht="13.5" customHeight="1">
      <c r="A66" s="269"/>
      <c r="B66" s="210" t="s">
        <v>41</v>
      </c>
      <c r="C66" s="17">
        <v>0</v>
      </c>
      <c r="D66" s="17">
        <v>0</v>
      </c>
      <c r="E66" s="17">
        <v>0</v>
      </c>
      <c r="F66" s="17">
        <v>3391485</v>
      </c>
      <c r="G66" s="17">
        <v>3000000</v>
      </c>
      <c r="H66" s="17">
        <v>0</v>
      </c>
      <c r="I66" s="17">
        <v>0</v>
      </c>
      <c r="J66" s="17">
        <v>70430</v>
      </c>
      <c r="K66" s="17">
        <v>0</v>
      </c>
      <c r="L66" s="17">
        <v>0</v>
      </c>
      <c r="M66" s="17">
        <v>0</v>
      </c>
      <c r="N66" s="17">
        <v>0</v>
      </c>
      <c r="O66" s="96">
        <f>MAX(C64:N64)</f>
        <v>585513</v>
      </c>
      <c r="P66" s="96"/>
    </row>
    <row r="67" spans="1:256" s="48" customFormat="1" ht="13.5" customHeight="1">
      <c r="A67" s="269"/>
      <c r="B67" s="210" t="s">
        <v>42</v>
      </c>
      <c r="C67" s="17">
        <v>710016.22999999975</v>
      </c>
      <c r="D67" s="17">
        <v>1698846</v>
      </c>
      <c r="E67" s="17">
        <v>811200.45</v>
      </c>
      <c r="F67" s="17">
        <v>0</v>
      </c>
      <c r="G67" s="17">
        <v>0</v>
      </c>
      <c r="H67" s="17">
        <v>0</v>
      </c>
      <c r="I67" s="17">
        <v>971001.83000000019</v>
      </c>
      <c r="J67" s="17">
        <v>342611.19999999984</v>
      </c>
      <c r="K67" s="17">
        <v>2114263</v>
      </c>
      <c r="L67" s="17">
        <v>704316</v>
      </c>
      <c r="M67" s="17">
        <v>187466</v>
      </c>
      <c r="N67" s="17">
        <v>1228180</v>
      </c>
      <c r="O67" s="96">
        <f>MIN(C64:N64)</f>
        <v>-1550615</v>
      </c>
      <c r="P67" s="96"/>
    </row>
    <row r="68" spans="1:256" s="22" customFormat="1" ht="13.5" customHeight="1">
      <c r="A68" s="241"/>
      <c r="B68" s="41" t="s">
        <v>43</v>
      </c>
      <c r="C68" s="21">
        <f>SUM(C64:C67)</f>
        <v>501054.03</v>
      </c>
      <c r="D68" s="21">
        <f t="shared" ref="D68:N68" si="12">SUM(D64:D67)</f>
        <v>1569350</v>
      </c>
      <c r="E68" s="21">
        <f t="shared" si="12"/>
        <v>908806.45</v>
      </c>
      <c r="F68" s="21">
        <f t="shared" si="12"/>
        <v>1558935</v>
      </c>
      <c r="G68" s="21">
        <f t="shared" si="12"/>
        <v>2684543</v>
      </c>
      <c r="H68" s="21">
        <f t="shared" si="12"/>
        <v>118236</v>
      </c>
      <c r="I68" s="21">
        <f t="shared" si="12"/>
        <v>1073313.9700000002</v>
      </c>
      <c r="J68" s="21">
        <f t="shared" si="12"/>
        <v>330338.55999999982</v>
      </c>
      <c r="K68" s="21">
        <f t="shared" si="12"/>
        <v>2043495</v>
      </c>
      <c r="L68" s="21">
        <f t="shared" si="12"/>
        <v>1142624</v>
      </c>
      <c r="M68" s="21">
        <f t="shared" si="12"/>
        <v>493341.43</v>
      </c>
      <c r="N68" s="21">
        <f t="shared" si="12"/>
        <v>1424439</v>
      </c>
    </row>
    <row r="69" spans="1:256" s="45" customFormat="1" ht="13.5" customHeight="1">
      <c r="A69" s="270" t="s">
        <v>84</v>
      </c>
      <c r="B69" s="270"/>
      <c r="C69" s="271">
        <f t="shared" ref="C69:N69" si="13">C64/(C52)</f>
        <v>7.9479610128603634E-2</v>
      </c>
      <c r="D69" s="271">
        <f t="shared" si="13"/>
        <v>0.14668693638788127</v>
      </c>
      <c r="E69" s="271">
        <f t="shared" si="13"/>
        <v>1.4311816244056599</v>
      </c>
      <c r="F69" s="271">
        <f t="shared" si="13"/>
        <v>-4.9700632390036894</v>
      </c>
      <c r="G69" s="271">
        <f t="shared" si="13"/>
        <v>-3.7343679712100766</v>
      </c>
      <c r="H69" s="271">
        <f t="shared" si="13"/>
        <v>0.1411104228801392</v>
      </c>
      <c r="I69" s="271">
        <f t="shared" si="13"/>
        <v>0.19742163971074739</v>
      </c>
      <c r="J69" s="271">
        <f t="shared" si="13"/>
        <v>0.35861746793799287</v>
      </c>
      <c r="K69" s="271">
        <f t="shared" si="13"/>
        <v>-0.13389387328820254</v>
      </c>
      <c r="L69" s="271">
        <f t="shared" si="13"/>
        <v>1.1779073346490196</v>
      </c>
      <c r="M69" s="271">
        <f t="shared" si="13"/>
        <v>0.41700866441559326</v>
      </c>
      <c r="N69" s="271">
        <f t="shared" si="13"/>
        <v>0.3646283098371742</v>
      </c>
      <c r="O69" s="44">
        <f>SUM(C69:N69)/11</f>
        <v>-0.41129846119537788</v>
      </c>
      <c r="P69" s="44"/>
    </row>
    <row r="70" spans="1:256" s="48" customFormat="1" ht="13.5" customHeight="1">
      <c r="A70" s="193"/>
      <c r="B70" s="51" t="s">
        <v>85</v>
      </c>
      <c r="C70" s="148">
        <f t="shared" ref="C70:N70" si="14">+C10+C12+C13+C14+C32-C52-C54-C68-C55-C56</f>
        <v>0</v>
      </c>
      <c r="D70" s="148">
        <f t="shared" si="14"/>
        <v>1</v>
      </c>
      <c r="E70" s="148">
        <f t="shared" si="14"/>
        <v>-0.10999999998603016</v>
      </c>
      <c r="F70" s="46">
        <f t="shared" si="14"/>
        <v>2</v>
      </c>
      <c r="G70" s="46">
        <f t="shared" si="14"/>
        <v>1081</v>
      </c>
      <c r="H70" s="46">
        <f t="shared" si="14"/>
        <v>-1.3100000000558794</v>
      </c>
      <c r="I70" s="46">
        <f t="shared" si="14"/>
        <v>-0.10000000009313226</v>
      </c>
      <c r="J70" s="46">
        <f t="shared" si="14"/>
        <v>-11.629999999815482</v>
      </c>
      <c r="K70" s="46">
        <f t="shared" si="14"/>
        <v>0</v>
      </c>
      <c r="L70" s="46">
        <f t="shared" si="14"/>
        <v>-45.760000000009313</v>
      </c>
      <c r="M70" s="46">
        <f t="shared" si="14"/>
        <v>2.0000000076834112E-2</v>
      </c>
      <c r="N70" s="46">
        <f t="shared" si="14"/>
        <v>-2</v>
      </c>
      <c r="O70" s="198">
        <f>MAX(C69:N69)</f>
        <v>1.4311816244056599</v>
      </c>
      <c r="P70" s="198"/>
    </row>
    <row r="71" spans="1:256" s="48" customFormat="1">
      <c r="A71" s="206"/>
      <c r="B71" s="206"/>
      <c r="C71" s="148">
        <f t="shared" ref="C71:N71" si="15">+C10+C62-C68</f>
        <v>0</v>
      </c>
      <c r="D71" s="148">
        <f t="shared" si="15"/>
        <v>1</v>
      </c>
      <c r="E71" s="148">
        <f t="shared" si="15"/>
        <v>-0.10999999998603016</v>
      </c>
      <c r="F71" s="46">
        <f t="shared" si="15"/>
        <v>2</v>
      </c>
      <c r="G71" s="46">
        <f t="shared" si="15"/>
        <v>1081</v>
      </c>
      <c r="H71" s="46">
        <f t="shared" si="15"/>
        <v>-1.3099999999976717</v>
      </c>
      <c r="I71" s="46">
        <f t="shared" si="15"/>
        <v>-0.10000000009313226</v>
      </c>
      <c r="J71" s="46">
        <f t="shared" si="15"/>
        <v>-11.629999999830034</v>
      </c>
      <c r="K71" s="46">
        <f t="shared" si="15"/>
        <v>0</v>
      </c>
      <c r="L71" s="46">
        <f t="shared" si="15"/>
        <v>-45.760000000009313</v>
      </c>
      <c r="M71" s="46">
        <f t="shared" si="15"/>
        <v>1.9999999960418791E-2</v>
      </c>
      <c r="N71" s="46">
        <f t="shared" si="15"/>
        <v>-2</v>
      </c>
      <c r="O71" s="198"/>
      <c r="P71" s="198"/>
    </row>
    <row r="72" spans="1:256" ht="12.95" customHeight="1">
      <c r="A72" s="206"/>
      <c r="B72" s="206"/>
      <c r="C72" s="148"/>
      <c r="D72" s="148"/>
      <c r="E72" s="148"/>
      <c r="F72" s="46"/>
      <c r="G72" s="46"/>
      <c r="H72" s="46"/>
      <c r="I72" s="46"/>
      <c r="J72" s="46"/>
      <c r="K72" s="46"/>
      <c r="L72" s="46"/>
      <c r="M72" s="46"/>
      <c r="N72" s="289"/>
      <c r="O72" s="47"/>
      <c r="P72" s="47"/>
    </row>
    <row r="73" spans="1:256" ht="12.95" customHeight="1">
      <c r="A73" s="180" t="s">
        <v>195</v>
      </c>
      <c r="B73" s="52"/>
      <c r="C73" s="52"/>
      <c r="D73" s="52"/>
      <c r="E73" s="188"/>
      <c r="F73" s="51"/>
      <c r="G73" s="51"/>
      <c r="H73" s="51"/>
      <c r="I73" s="51"/>
      <c r="J73" s="51"/>
      <c r="K73" s="51"/>
      <c r="L73" s="51"/>
      <c r="M73" s="51"/>
      <c r="N73" s="59"/>
    </row>
    <row r="74" spans="1:256" ht="12.95" customHeight="1">
      <c r="A74" s="177" t="s">
        <v>196</v>
      </c>
      <c r="B74" s="52"/>
      <c r="C74" s="52"/>
      <c r="D74" s="52"/>
      <c r="E74" s="188"/>
      <c r="F74" s="51"/>
      <c r="G74" s="51"/>
      <c r="H74" s="51"/>
      <c r="I74" s="51"/>
      <c r="J74" s="51"/>
      <c r="K74" s="51"/>
      <c r="L74" s="51"/>
      <c r="M74" s="51"/>
      <c r="N74" s="59"/>
    </row>
    <row r="75" spans="1:256" ht="12.95" customHeight="1">
      <c r="A75" s="178" t="s">
        <v>86</v>
      </c>
      <c r="B75" s="52"/>
      <c r="C75" s="52"/>
      <c r="D75" s="52"/>
      <c r="E75" s="188"/>
      <c r="F75" s="51"/>
      <c r="G75" s="51"/>
      <c r="H75" s="51"/>
      <c r="I75" s="51"/>
      <c r="J75" s="51"/>
      <c r="K75" s="51"/>
      <c r="L75" s="51"/>
      <c r="M75" s="51"/>
      <c r="N75" s="59"/>
    </row>
    <row r="76" spans="1:256" ht="12.95" customHeight="1">
      <c r="A76" s="179"/>
      <c r="B76" s="52"/>
      <c r="C76" s="52"/>
      <c r="D76" s="52"/>
      <c r="E76" s="188"/>
      <c r="F76" s="51"/>
      <c r="G76" s="51"/>
      <c r="H76" s="51"/>
      <c r="I76" s="51"/>
      <c r="J76" s="51"/>
      <c r="K76" s="51"/>
      <c r="L76" s="51"/>
      <c r="M76" s="51"/>
      <c r="N76" s="59"/>
    </row>
    <row r="77" spans="1:256" ht="12.95" customHeight="1">
      <c r="A77" s="177" t="s">
        <v>197</v>
      </c>
      <c r="B77" s="52"/>
      <c r="C77" s="52"/>
      <c r="D77" s="52"/>
      <c r="E77" s="188"/>
      <c r="F77" s="51"/>
      <c r="G77" s="51"/>
      <c r="H77" s="51"/>
      <c r="I77" s="51"/>
      <c r="J77" s="51"/>
      <c r="K77" s="51"/>
      <c r="L77" s="51"/>
      <c r="M77" s="51"/>
      <c r="N77" s="59"/>
    </row>
    <row r="78" spans="1:256" ht="12.95" customHeight="1">
      <c r="A78" s="177" t="s">
        <v>87</v>
      </c>
      <c r="B78" s="52"/>
      <c r="C78" s="52"/>
      <c r="D78" s="52"/>
      <c r="E78" s="207"/>
      <c r="F78" s="59"/>
      <c r="G78" s="59"/>
      <c r="H78" s="51"/>
      <c r="I78" s="59"/>
      <c r="J78" s="51"/>
      <c r="K78" s="51"/>
      <c r="L78" s="51"/>
      <c r="M78" s="51"/>
      <c r="N78" s="59"/>
      <c r="Q78" s="326"/>
      <c r="R78" s="326"/>
      <c r="S78" s="326"/>
      <c r="T78" s="326"/>
      <c r="U78" s="326"/>
      <c r="V78" s="326"/>
      <c r="W78" s="326"/>
      <c r="X78" s="326"/>
      <c r="Y78" s="326"/>
      <c r="Z78" s="326"/>
      <c r="AA78" s="326"/>
      <c r="AB78" s="326"/>
      <c r="AC78" s="326"/>
      <c r="AD78" s="326"/>
      <c r="AE78" s="326"/>
      <c r="AF78" s="326"/>
      <c r="AG78" s="326"/>
      <c r="AH78" s="326"/>
      <c r="AI78" s="326"/>
      <c r="AJ78" s="326"/>
      <c r="AK78" s="326"/>
      <c r="AL78" s="326"/>
      <c r="AM78" s="326"/>
      <c r="AN78" s="326"/>
      <c r="AO78" s="326"/>
      <c r="AP78" s="326"/>
      <c r="AQ78" s="326"/>
      <c r="AR78" s="326"/>
      <c r="AS78" s="326"/>
      <c r="AT78" s="326"/>
      <c r="AU78" s="326"/>
      <c r="AV78" s="326"/>
      <c r="AW78" s="326"/>
      <c r="AX78" s="326"/>
      <c r="AY78" s="326"/>
      <c r="AZ78" s="326"/>
      <c r="BA78" s="326"/>
      <c r="BB78" s="326"/>
      <c r="BC78" s="326"/>
      <c r="BD78" s="326"/>
      <c r="BE78" s="326"/>
      <c r="BF78" s="326"/>
      <c r="BG78" s="326"/>
      <c r="BH78" s="326"/>
      <c r="BI78" s="326"/>
      <c r="BJ78" s="326"/>
      <c r="BK78" s="326"/>
      <c r="BL78" s="326"/>
      <c r="BM78" s="326"/>
      <c r="BN78" s="326"/>
      <c r="BO78" s="326"/>
      <c r="BP78" s="326"/>
      <c r="BQ78" s="326"/>
      <c r="BR78" s="326"/>
      <c r="BS78" s="326"/>
      <c r="BT78" s="326"/>
      <c r="BU78" s="326"/>
      <c r="BV78" s="326"/>
      <c r="BW78" s="326"/>
      <c r="BX78" s="326"/>
      <c r="BY78" s="326"/>
      <c r="BZ78" s="326"/>
      <c r="CA78" s="326"/>
      <c r="CB78" s="326"/>
      <c r="CC78" s="326"/>
      <c r="CD78" s="326"/>
      <c r="CE78" s="326"/>
      <c r="CF78" s="326"/>
      <c r="CG78" s="326"/>
      <c r="CH78" s="326"/>
      <c r="CI78" s="326"/>
      <c r="CJ78" s="326"/>
      <c r="CK78" s="326"/>
      <c r="CL78" s="326"/>
      <c r="CM78" s="326"/>
      <c r="CN78" s="326"/>
      <c r="CO78" s="326"/>
      <c r="CP78" s="326"/>
      <c r="CQ78" s="326"/>
      <c r="CR78" s="326"/>
      <c r="CS78" s="326"/>
      <c r="CT78" s="326"/>
      <c r="CU78" s="326"/>
      <c r="CV78" s="326"/>
      <c r="CW78" s="326"/>
      <c r="CX78" s="326"/>
      <c r="CY78" s="326"/>
      <c r="CZ78" s="326"/>
      <c r="DA78" s="326"/>
      <c r="DB78" s="326"/>
      <c r="DC78" s="326"/>
      <c r="DD78" s="326"/>
      <c r="DE78" s="326"/>
      <c r="DF78" s="326"/>
      <c r="DG78" s="326"/>
      <c r="DH78" s="326"/>
      <c r="DI78" s="326"/>
      <c r="DJ78" s="326"/>
      <c r="DK78" s="326"/>
      <c r="DL78" s="326"/>
      <c r="DM78" s="326"/>
      <c r="DN78" s="326"/>
      <c r="DO78" s="326"/>
      <c r="DP78" s="326"/>
      <c r="DQ78" s="326"/>
      <c r="DR78" s="326"/>
      <c r="DS78" s="326"/>
      <c r="DT78" s="326"/>
      <c r="DU78" s="326"/>
      <c r="DV78" s="326"/>
      <c r="DW78" s="326"/>
      <c r="DX78" s="326"/>
      <c r="DY78" s="326"/>
      <c r="DZ78" s="326"/>
      <c r="EA78" s="326"/>
      <c r="EB78" s="326"/>
      <c r="EC78" s="326"/>
      <c r="ED78" s="326"/>
      <c r="EE78" s="326"/>
      <c r="EF78" s="326"/>
      <c r="EG78" s="326"/>
      <c r="EH78" s="326"/>
      <c r="EI78" s="326"/>
      <c r="EJ78" s="326"/>
      <c r="EK78" s="326"/>
      <c r="EL78" s="326"/>
      <c r="EM78" s="326"/>
      <c r="EN78" s="326"/>
      <c r="EO78" s="326"/>
      <c r="EP78" s="326"/>
      <c r="EQ78" s="326"/>
      <c r="ER78" s="326"/>
      <c r="ES78" s="326"/>
      <c r="ET78" s="326"/>
      <c r="EU78" s="326"/>
      <c r="EV78" s="326"/>
      <c r="EW78" s="326"/>
      <c r="EX78" s="326"/>
      <c r="EY78" s="326"/>
      <c r="EZ78" s="326"/>
      <c r="FA78" s="326"/>
      <c r="FB78" s="326"/>
      <c r="FC78" s="326"/>
      <c r="FD78" s="326"/>
      <c r="FE78" s="326"/>
      <c r="FF78" s="326"/>
      <c r="FG78" s="326"/>
      <c r="FH78" s="326"/>
      <c r="FI78" s="326"/>
      <c r="FJ78" s="326"/>
      <c r="FK78" s="326"/>
      <c r="FL78" s="326"/>
      <c r="FM78" s="326"/>
      <c r="FN78" s="326"/>
      <c r="FO78" s="326"/>
      <c r="FP78" s="326"/>
      <c r="FQ78" s="326"/>
      <c r="FR78" s="326"/>
      <c r="FS78" s="326"/>
      <c r="FT78" s="326"/>
      <c r="FU78" s="326"/>
      <c r="FV78" s="326"/>
      <c r="FW78" s="326"/>
      <c r="FX78" s="326"/>
      <c r="FY78" s="326"/>
      <c r="FZ78" s="326"/>
      <c r="GA78" s="326"/>
      <c r="GB78" s="326"/>
      <c r="GC78" s="326"/>
      <c r="GD78" s="326"/>
      <c r="GE78" s="326"/>
      <c r="GF78" s="326"/>
      <c r="GG78" s="326"/>
      <c r="GH78" s="326"/>
      <c r="GI78" s="326"/>
      <c r="GJ78" s="326"/>
      <c r="GK78" s="326"/>
      <c r="GL78" s="326"/>
      <c r="GM78" s="326"/>
      <c r="GN78" s="326"/>
      <c r="GO78" s="326"/>
      <c r="GP78" s="326"/>
      <c r="GQ78" s="326"/>
      <c r="GR78" s="326"/>
      <c r="GS78" s="326"/>
      <c r="GT78" s="326"/>
      <c r="GU78" s="326"/>
      <c r="GV78" s="326"/>
      <c r="GW78" s="326"/>
      <c r="GX78" s="326"/>
      <c r="GY78" s="326"/>
      <c r="GZ78" s="326"/>
      <c r="HA78" s="326"/>
      <c r="HB78" s="326"/>
      <c r="HC78" s="326"/>
      <c r="HD78" s="326"/>
      <c r="HE78" s="326"/>
      <c r="HF78" s="326"/>
      <c r="HG78" s="326"/>
      <c r="HH78" s="326"/>
      <c r="HI78" s="326"/>
      <c r="HJ78" s="326"/>
      <c r="HK78" s="326"/>
      <c r="HL78" s="326"/>
      <c r="HM78" s="326"/>
      <c r="HN78" s="326"/>
      <c r="HO78" s="326"/>
      <c r="HP78" s="326"/>
      <c r="HQ78" s="326"/>
      <c r="HR78" s="326"/>
      <c r="HS78" s="326"/>
      <c r="HT78" s="326"/>
      <c r="HU78" s="326"/>
      <c r="HV78" s="326"/>
      <c r="HW78" s="326"/>
      <c r="HX78" s="326"/>
      <c r="HY78" s="326"/>
      <c r="HZ78" s="326"/>
      <c r="IA78" s="326"/>
      <c r="IB78" s="326"/>
      <c r="IC78" s="326"/>
      <c r="ID78" s="326"/>
      <c r="IE78" s="326"/>
      <c r="IF78" s="326"/>
      <c r="IG78" s="326"/>
      <c r="IH78" s="326"/>
      <c r="II78" s="326"/>
      <c r="IJ78" s="326"/>
      <c r="IK78" s="326"/>
      <c r="IL78" s="326"/>
      <c r="IM78" s="326"/>
      <c r="IN78" s="326"/>
      <c r="IO78" s="326"/>
      <c r="IP78" s="326"/>
      <c r="IQ78" s="326"/>
      <c r="IR78" s="326"/>
      <c r="IS78" s="326"/>
      <c r="IT78" s="326"/>
      <c r="IU78" s="326"/>
      <c r="IV78" s="326"/>
    </row>
    <row r="79" spans="1:256" ht="12.95" customHeight="1">
      <c r="A79" s="177" t="s">
        <v>88</v>
      </c>
      <c r="B79" s="208"/>
      <c r="C79" s="209"/>
      <c r="D79" s="209"/>
      <c r="E79" s="207"/>
      <c r="F79" s="59"/>
      <c r="G79" s="59"/>
      <c r="H79" s="51"/>
      <c r="I79" s="59"/>
      <c r="J79" s="51"/>
      <c r="K79" s="51"/>
      <c r="L79" s="51"/>
      <c r="M79" s="51"/>
      <c r="N79" s="59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  <c r="DR79" s="50"/>
      <c r="DS79" s="50"/>
      <c r="DT79" s="50"/>
      <c r="DU79" s="50"/>
      <c r="DV79" s="50"/>
      <c r="DW79" s="50"/>
      <c r="DX79" s="50"/>
      <c r="DY79" s="50"/>
      <c r="DZ79" s="50"/>
      <c r="EA79" s="50"/>
      <c r="EB79" s="50"/>
      <c r="EC79" s="50"/>
      <c r="ED79" s="50"/>
      <c r="EE79" s="50"/>
      <c r="EF79" s="50"/>
      <c r="EG79" s="50"/>
      <c r="EH79" s="50"/>
      <c r="EI79" s="50"/>
      <c r="EJ79" s="50"/>
      <c r="EK79" s="50"/>
      <c r="EL79" s="50"/>
      <c r="EM79" s="50"/>
      <c r="EN79" s="50"/>
      <c r="EO79" s="50"/>
      <c r="EP79" s="50"/>
      <c r="EQ79" s="50"/>
      <c r="ER79" s="50"/>
      <c r="ES79" s="50"/>
      <c r="ET79" s="50"/>
      <c r="EU79" s="50"/>
      <c r="EV79" s="50"/>
      <c r="EW79" s="50"/>
      <c r="EX79" s="50"/>
      <c r="EY79" s="50"/>
      <c r="EZ79" s="50"/>
      <c r="FA79" s="50"/>
      <c r="FB79" s="50"/>
      <c r="FC79" s="50"/>
      <c r="FD79" s="50"/>
      <c r="FE79" s="50"/>
      <c r="FF79" s="50"/>
      <c r="FG79" s="50"/>
      <c r="FH79" s="50"/>
      <c r="FI79" s="50"/>
      <c r="FJ79" s="50"/>
      <c r="FK79" s="50"/>
      <c r="FL79" s="50"/>
      <c r="FM79" s="50"/>
      <c r="FN79" s="50"/>
      <c r="FO79" s="50"/>
      <c r="FP79" s="50"/>
      <c r="FQ79" s="50"/>
      <c r="FR79" s="50"/>
      <c r="FS79" s="50"/>
      <c r="FT79" s="50"/>
      <c r="FU79" s="50"/>
      <c r="FV79" s="50"/>
      <c r="FW79" s="50"/>
      <c r="FX79" s="50"/>
      <c r="FY79" s="50"/>
      <c r="FZ79" s="50"/>
      <c r="GA79" s="50"/>
      <c r="GB79" s="50"/>
      <c r="GC79" s="50"/>
      <c r="GD79" s="50"/>
      <c r="GE79" s="50"/>
      <c r="GF79" s="50"/>
      <c r="GG79" s="50"/>
      <c r="GH79" s="50"/>
      <c r="GI79" s="50"/>
      <c r="GJ79" s="50"/>
      <c r="GK79" s="50"/>
      <c r="GL79" s="50"/>
      <c r="GM79" s="50"/>
      <c r="GN79" s="50"/>
      <c r="GO79" s="50"/>
      <c r="GP79" s="50"/>
      <c r="GQ79" s="50"/>
      <c r="GR79" s="50"/>
      <c r="GS79" s="50"/>
      <c r="GT79" s="50"/>
      <c r="GU79" s="50"/>
      <c r="GV79" s="50"/>
      <c r="GW79" s="50"/>
      <c r="GX79" s="50"/>
      <c r="GY79" s="50"/>
      <c r="GZ79" s="50"/>
      <c r="HA79" s="50"/>
      <c r="HB79" s="50"/>
      <c r="HC79" s="50"/>
      <c r="HD79" s="50"/>
      <c r="HE79" s="50"/>
      <c r="HF79" s="50"/>
      <c r="HG79" s="50"/>
      <c r="HH79" s="50"/>
      <c r="HI79" s="50"/>
      <c r="HJ79" s="50"/>
      <c r="HK79" s="50"/>
      <c r="HL79" s="50"/>
      <c r="HM79" s="50"/>
      <c r="HN79" s="50"/>
      <c r="HO79" s="50"/>
      <c r="HP79" s="50"/>
      <c r="HQ79" s="50"/>
      <c r="HR79" s="50"/>
      <c r="HS79" s="50"/>
      <c r="HT79" s="50"/>
      <c r="HU79" s="50"/>
      <c r="HV79" s="50"/>
      <c r="HW79" s="50"/>
      <c r="HX79" s="50"/>
      <c r="HY79" s="50"/>
      <c r="HZ79" s="50"/>
      <c r="IA79" s="50"/>
      <c r="IB79" s="50"/>
      <c r="IC79" s="50"/>
      <c r="ID79" s="50"/>
      <c r="IE79" s="50"/>
      <c r="IF79" s="50"/>
      <c r="IG79" s="50"/>
      <c r="IH79" s="50"/>
      <c r="II79" s="50"/>
      <c r="IJ79" s="50"/>
      <c r="IK79" s="50"/>
      <c r="IL79" s="50"/>
      <c r="IM79" s="50"/>
      <c r="IN79" s="50"/>
      <c r="IO79" s="50"/>
      <c r="IP79" s="50"/>
      <c r="IQ79" s="50"/>
      <c r="IR79" s="50"/>
      <c r="IS79" s="50"/>
      <c r="IT79" s="50"/>
      <c r="IU79" s="50"/>
      <c r="IV79" s="50"/>
    </row>
    <row r="80" spans="1:256" ht="12.95" customHeight="1">
      <c r="A80" s="52"/>
      <c r="B80" s="52"/>
      <c r="C80" s="52"/>
      <c r="D80" s="52"/>
      <c r="E80" s="207"/>
      <c r="F80" s="59"/>
      <c r="G80" s="59"/>
      <c r="H80" s="51"/>
      <c r="I80" s="59"/>
      <c r="J80" s="51"/>
      <c r="K80" s="51"/>
      <c r="L80" s="51"/>
      <c r="M80" s="51"/>
      <c r="N80" s="290"/>
      <c r="Q80" s="326"/>
      <c r="R80" s="326"/>
      <c r="S80" s="326"/>
      <c r="T80" s="326"/>
      <c r="U80" s="326"/>
      <c r="V80" s="326"/>
      <c r="W80" s="326"/>
      <c r="X80" s="326"/>
      <c r="Y80" s="326"/>
      <c r="Z80" s="326"/>
      <c r="AA80" s="326"/>
      <c r="AB80" s="326"/>
      <c r="AC80" s="326"/>
      <c r="AD80" s="326"/>
      <c r="AE80" s="326"/>
      <c r="AF80" s="326"/>
      <c r="AG80" s="326"/>
      <c r="AH80" s="326"/>
      <c r="AI80" s="326"/>
      <c r="AJ80" s="326"/>
      <c r="AK80" s="326"/>
      <c r="AL80" s="326"/>
      <c r="AM80" s="326"/>
      <c r="AN80" s="326"/>
      <c r="AO80" s="326"/>
      <c r="AP80" s="326"/>
      <c r="AQ80" s="326"/>
      <c r="AR80" s="326"/>
      <c r="AS80" s="326"/>
      <c r="AT80" s="326"/>
      <c r="AU80" s="326"/>
      <c r="AV80" s="326"/>
      <c r="AW80" s="326"/>
      <c r="AX80" s="326"/>
      <c r="AY80" s="326"/>
      <c r="AZ80" s="326"/>
      <c r="BA80" s="326"/>
      <c r="BB80" s="326"/>
      <c r="BC80" s="326"/>
      <c r="BD80" s="326"/>
      <c r="BE80" s="326"/>
      <c r="BF80" s="326"/>
      <c r="BG80" s="326"/>
      <c r="BH80" s="326"/>
      <c r="BI80" s="326"/>
      <c r="BJ80" s="326"/>
      <c r="BK80" s="326"/>
      <c r="BL80" s="326"/>
      <c r="BM80" s="326"/>
      <c r="BN80" s="326"/>
      <c r="BO80" s="326"/>
      <c r="BP80" s="326"/>
      <c r="BQ80" s="326"/>
      <c r="BR80" s="326"/>
      <c r="BS80" s="326"/>
      <c r="BT80" s="326"/>
      <c r="BU80" s="326"/>
      <c r="BV80" s="326"/>
      <c r="BW80" s="326"/>
      <c r="BX80" s="326"/>
      <c r="BY80" s="326"/>
      <c r="BZ80" s="326"/>
      <c r="CA80" s="326"/>
      <c r="CB80" s="326"/>
      <c r="CC80" s="326"/>
      <c r="CD80" s="326"/>
      <c r="CE80" s="326"/>
      <c r="CF80" s="326"/>
      <c r="CG80" s="326"/>
      <c r="CH80" s="326"/>
      <c r="CI80" s="326"/>
      <c r="CJ80" s="326"/>
      <c r="CK80" s="326"/>
      <c r="CL80" s="326"/>
      <c r="CM80" s="326"/>
      <c r="CN80" s="326"/>
      <c r="CO80" s="326"/>
      <c r="CP80" s="326"/>
      <c r="CQ80" s="326"/>
      <c r="CR80" s="326"/>
      <c r="CS80" s="326"/>
      <c r="CT80" s="326"/>
      <c r="CU80" s="326"/>
      <c r="CV80" s="326"/>
      <c r="CW80" s="326"/>
      <c r="CX80" s="326"/>
      <c r="CY80" s="326"/>
      <c r="CZ80" s="326"/>
      <c r="DA80" s="326"/>
      <c r="DB80" s="326"/>
      <c r="DC80" s="326"/>
      <c r="DD80" s="326"/>
      <c r="DE80" s="326"/>
      <c r="DF80" s="326"/>
      <c r="DG80" s="326"/>
      <c r="DH80" s="326"/>
      <c r="DI80" s="326"/>
      <c r="DJ80" s="326"/>
      <c r="DK80" s="326"/>
      <c r="DL80" s="326"/>
      <c r="DM80" s="326"/>
      <c r="DN80" s="326"/>
      <c r="DO80" s="326"/>
      <c r="DP80" s="326"/>
      <c r="DQ80" s="326"/>
      <c r="DR80" s="326"/>
      <c r="DS80" s="326"/>
      <c r="DT80" s="326"/>
      <c r="DU80" s="326"/>
      <c r="DV80" s="326"/>
      <c r="DW80" s="326"/>
      <c r="DX80" s="326"/>
      <c r="DY80" s="326"/>
      <c r="DZ80" s="326"/>
      <c r="EA80" s="326"/>
      <c r="EB80" s="326"/>
      <c r="EC80" s="326"/>
      <c r="ED80" s="326"/>
      <c r="EE80" s="326"/>
      <c r="EF80" s="326"/>
      <c r="EG80" s="326"/>
      <c r="EH80" s="326"/>
      <c r="EI80" s="326"/>
      <c r="EJ80" s="326"/>
      <c r="EK80" s="326"/>
      <c r="EL80" s="326"/>
      <c r="EM80" s="326"/>
      <c r="EN80" s="326"/>
      <c r="EO80" s="326"/>
      <c r="EP80" s="326"/>
      <c r="EQ80" s="326"/>
      <c r="ER80" s="326"/>
      <c r="ES80" s="326"/>
      <c r="ET80" s="326"/>
      <c r="EU80" s="326"/>
      <c r="EV80" s="326"/>
      <c r="EW80" s="326"/>
      <c r="EX80" s="326"/>
      <c r="EY80" s="326"/>
      <c r="EZ80" s="326"/>
      <c r="FA80" s="326"/>
      <c r="FB80" s="326"/>
      <c r="FC80" s="326"/>
      <c r="FD80" s="326"/>
      <c r="FE80" s="326"/>
      <c r="FF80" s="326"/>
      <c r="FG80" s="326"/>
      <c r="FH80" s="326"/>
      <c r="FI80" s="326"/>
      <c r="FJ80" s="326"/>
      <c r="FK80" s="326"/>
      <c r="FL80" s="326"/>
      <c r="FM80" s="326"/>
      <c r="FN80" s="326"/>
      <c r="FO80" s="326"/>
      <c r="FP80" s="326"/>
      <c r="FQ80" s="326"/>
      <c r="FR80" s="326"/>
      <c r="FS80" s="326"/>
      <c r="FT80" s="326"/>
      <c r="FU80" s="326"/>
      <c r="FV80" s="326"/>
      <c r="FW80" s="326"/>
      <c r="FX80" s="326"/>
      <c r="FY80" s="326"/>
      <c r="FZ80" s="326"/>
      <c r="GA80" s="326"/>
      <c r="GB80" s="326"/>
      <c r="GC80" s="326"/>
      <c r="GD80" s="326"/>
      <c r="GE80" s="326"/>
      <c r="GF80" s="326"/>
      <c r="GG80" s="326"/>
      <c r="GH80" s="326"/>
      <c r="GI80" s="326"/>
      <c r="GJ80" s="326"/>
      <c r="GK80" s="326"/>
      <c r="GL80" s="326"/>
      <c r="GM80" s="326"/>
      <c r="GN80" s="326"/>
      <c r="GO80" s="326"/>
      <c r="GP80" s="326"/>
      <c r="GQ80" s="326"/>
      <c r="GR80" s="326"/>
      <c r="GS80" s="326"/>
      <c r="GT80" s="326"/>
      <c r="GU80" s="326"/>
      <c r="GV80" s="326"/>
      <c r="GW80" s="326"/>
      <c r="GX80" s="326"/>
      <c r="GY80" s="326"/>
      <c r="GZ80" s="326"/>
      <c r="HA80" s="326"/>
      <c r="HB80" s="326"/>
      <c r="HC80" s="326"/>
      <c r="HD80" s="326"/>
      <c r="HE80" s="326"/>
      <c r="HF80" s="326"/>
      <c r="HG80" s="326"/>
      <c r="HH80" s="326"/>
      <c r="HI80" s="326"/>
      <c r="HJ80" s="326"/>
      <c r="HK80" s="326"/>
      <c r="HL80" s="326"/>
      <c r="HM80" s="326"/>
      <c r="HN80" s="326"/>
      <c r="HO80" s="326"/>
      <c r="HP80" s="326"/>
      <c r="HQ80" s="326"/>
      <c r="HR80" s="326"/>
      <c r="HS80" s="326"/>
      <c r="HT80" s="326"/>
      <c r="HU80" s="326"/>
      <c r="HV80" s="326"/>
      <c r="HW80" s="326"/>
      <c r="HX80" s="326"/>
      <c r="HY80" s="326"/>
      <c r="HZ80" s="326"/>
      <c r="IA80" s="326"/>
      <c r="IB80" s="326"/>
      <c r="IC80" s="326"/>
      <c r="ID80" s="326"/>
      <c r="IE80" s="326"/>
      <c r="IF80" s="326"/>
      <c r="IG80" s="326"/>
      <c r="IH80" s="326"/>
      <c r="II80" s="326"/>
      <c r="IJ80" s="326"/>
      <c r="IK80" s="326"/>
      <c r="IL80" s="326"/>
      <c r="IM80" s="326"/>
      <c r="IN80" s="326"/>
      <c r="IO80" s="326"/>
      <c r="IP80" s="326"/>
      <c r="IQ80" s="326"/>
      <c r="IR80" s="326"/>
      <c r="IS80" s="326"/>
      <c r="IT80" s="326"/>
      <c r="IU80" s="326"/>
      <c r="IV80" s="326"/>
    </row>
    <row r="81" spans="1:17">
      <c r="A81" s="329"/>
      <c r="B81" s="330"/>
      <c r="C81" s="259"/>
      <c r="D81" s="257"/>
      <c r="E81" s="257"/>
      <c r="F81" s="257"/>
      <c r="G81" s="257"/>
      <c r="H81" s="257"/>
      <c r="I81" s="257"/>
      <c r="J81" s="258"/>
      <c r="K81" s="258"/>
      <c r="L81" s="257"/>
      <c r="M81" s="257"/>
      <c r="N81" s="257"/>
    </row>
    <row r="82" spans="1:17" ht="77.25" customHeight="1">
      <c r="A82" s="331"/>
      <c r="B82" s="332"/>
      <c r="C82" s="256" t="str">
        <f t="shared" ref="C82:N82" si="16">C2</f>
        <v>10-A DAA, Tulelake-Butte Valley Fair</v>
      </c>
      <c r="D82" s="256" t="str">
        <f t="shared" si="16"/>
        <v>33rd DAA,      San Benito County Fair</v>
      </c>
      <c r="E82" s="256" t="str">
        <f t="shared" si="16"/>
        <v>34th DAA, Modoc-Last Frontier Fair</v>
      </c>
      <c r="F82" s="256" t="str">
        <f t="shared" si="16"/>
        <v>48th DAA, Schools' Agriculture &amp; Nutrition Program</v>
      </c>
      <c r="G82" s="256" t="str">
        <f t="shared" si="16"/>
        <v>51st DAA,       The Valley Fair</v>
      </c>
      <c r="H82" s="256" t="str">
        <f t="shared" si="16"/>
        <v>52nd DAA, Sacramento County Fair</v>
      </c>
      <c r="I82" s="256" t="str">
        <f t="shared" si="16"/>
        <v>53rd DAA, Desert Empire Fair</v>
      </c>
      <c r="J82" s="256" t="str">
        <f t="shared" si="16"/>
        <v>54th DAA, Colorado River Country Fair</v>
      </c>
      <c r="K82" s="256" t="str">
        <f t="shared" si="16"/>
        <v>Chowchilla- Madera County Fair</v>
      </c>
      <c r="L82" s="256" t="str">
        <f t="shared" si="16"/>
        <v>Mendocino County Fair</v>
      </c>
      <c r="M82" s="256" t="str">
        <f t="shared" si="16"/>
        <v>Inter-Mountain Fair</v>
      </c>
      <c r="N82" s="256" t="str">
        <f t="shared" si="16"/>
        <v>Trinity County Fair</v>
      </c>
    </row>
    <row r="83" spans="1:17" ht="13.5" customHeight="1">
      <c r="A83" s="262" t="s">
        <v>89</v>
      </c>
      <c r="B83" s="29"/>
      <c r="C83" s="53"/>
      <c r="D83" s="54"/>
      <c r="E83" s="54"/>
      <c r="F83" s="54"/>
      <c r="G83" s="54"/>
      <c r="H83" s="55"/>
      <c r="I83" s="54"/>
      <c r="J83" s="55"/>
      <c r="K83" s="55"/>
      <c r="L83" s="55"/>
      <c r="M83" s="55"/>
      <c r="N83" s="54"/>
    </row>
    <row r="84" spans="1:17" ht="13.5" customHeight="1">
      <c r="A84" s="262" t="s">
        <v>90</v>
      </c>
      <c r="B84" s="29"/>
      <c r="C84" s="53"/>
      <c r="D84" s="54"/>
      <c r="E84" s="54"/>
      <c r="F84" s="54"/>
      <c r="G84" s="54"/>
      <c r="H84" s="55"/>
      <c r="I84" s="54"/>
      <c r="J84" s="55"/>
      <c r="K84" s="55"/>
      <c r="L84" s="55"/>
      <c r="M84" s="55"/>
      <c r="N84" s="54"/>
    </row>
    <row r="85" spans="1:17" ht="13.5" customHeight="1">
      <c r="A85" s="267"/>
      <c r="B85" s="29" t="s">
        <v>91</v>
      </c>
      <c r="C85" s="18"/>
      <c r="D85" s="30"/>
      <c r="E85" s="30"/>
      <c r="F85" s="30"/>
      <c r="G85" s="30"/>
      <c r="H85" s="19"/>
      <c r="I85" s="30"/>
      <c r="J85" s="19"/>
      <c r="K85" s="19"/>
      <c r="L85" s="19"/>
      <c r="M85" s="19"/>
      <c r="N85" s="30"/>
    </row>
    <row r="86" spans="1:17" ht="13.5" customHeight="1">
      <c r="A86" s="267"/>
      <c r="B86" s="29" t="s">
        <v>92</v>
      </c>
      <c r="C86" s="13">
        <v>0</v>
      </c>
      <c r="D86" s="13">
        <v>0</v>
      </c>
      <c r="E86" s="14">
        <v>0</v>
      </c>
      <c r="F86" s="14">
        <v>0</v>
      </c>
      <c r="G86" s="14">
        <v>2652890</v>
      </c>
      <c r="H86" s="15">
        <v>357382</v>
      </c>
      <c r="I86" s="14">
        <v>132331.35</v>
      </c>
      <c r="J86" s="15">
        <v>0</v>
      </c>
      <c r="K86" s="15">
        <v>0</v>
      </c>
      <c r="L86" s="15">
        <v>0</v>
      </c>
      <c r="M86" s="15">
        <v>62182.38</v>
      </c>
      <c r="N86" s="14">
        <v>0</v>
      </c>
      <c r="P86" s="56"/>
      <c r="Q86" s="56">
        <f t="shared" ref="Q86:Q95" si="17">SUM(C86:J86)</f>
        <v>3142603.35</v>
      </c>
    </row>
    <row r="87" spans="1:17" ht="13.5" customHeight="1">
      <c r="A87" s="267"/>
      <c r="B87" s="29" t="s">
        <v>93</v>
      </c>
      <c r="C87" s="18">
        <v>98332.25</v>
      </c>
      <c r="D87" s="18">
        <f>243249+161574</f>
        <v>404823</v>
      </c>
      <c r="E87" s="30">
        <v>97637.69</v>
      </c>
      <c r="F87" s="30">
        <f>200+64053+1419813</f>
        <v>1484066</v>
      </c>
      <c r="G87" s="30">
        <v>12783</v>
      </c>
      <c r="H87" s="19">
        <v>443722</v>
      </c>
      <c r="I87" s="30">
        <v>13052.74</v>
      </c>
      <c r="J87" s="19">
        <v>20525.240000000002</v>
      </c>
      <c r="K87" s="19">
        <v>119779</v>
      </c>
      <c r="L87" s="19">
        <v>583998.14</v>
      </c>
      <c r="M87" s="19">
        <v>332981.90000000002</v>
      </c>
      <c r="N87" s="30">
        <v>271286</v>
      </c>
      <c r="P87" s="56"/>
      <c r="Q87" s="56">
        <f t="shared" si="17"/>
        <v>2574941.9200000004</v>
      </c>
    </row>
    <row r="88" spans="1:17" ht="13.5" customHeight="1">
      <c r="A88" s="267"/>
      <c r="B88" s="29" t="s">
        <v>94</v>
      </c>
      <c r="C88" s="18">
        <v>3624.87</v>
      </c>
      <c r="D88" s="30">
        <f>238630+1527</f>
        <v>240157</v>
      </c>
      <c r="E88" s="30">
        <v>324349.01</v>
      </c>
      <c r="F88" s="30">
        <v>429684</v>
      </c>
      <c r="G88" s="30">
        <v>16031</v>
      </c>
      <c r="H88" s="19">
        <v>427</v>
      </c>
      <c r="I88" s="30">
        <v>0</v>
      </c>
      <c r="J88" s="19">
        <v>150460.5</v>
      </c>
      <c r="K88" s="19">
        <v>440</v>
      </c>
      <c r="L88" s="19">
        <v>62303.199999999997</v>
      </c>
      <c r="M88" s="19">
        <v>7417.9699999999993</v>
      </c>
      <c r="N88" s="30">
        <v>1640</v>
      </c>
      <c r="P88" s="56"/>
      <c r="Q88" s="56">
        <f t="shared" si="17"/>
        <v>1164733.3799999999</v>
      </c>
    </row>
    <row r="89" spans="1:17" ht="13.5" customHeight="1">
      <c r="A89" s="267"/>
      <c r="B89" s="29" t="s">
        <v>95</v>
      </c>
      <c r="C89" s="18">
        <v>0</v>
      </c>
      <c r="D89" s="30">
        <v>7785</v>
      </c>
      <c r="E89" s="30">
        <v>0</v>
      </c>
      <c r="F89" s="30">
        <v>3056</v>
      </c>
      <c r="G89" s="30">
        <v>0</v>
      </c>
      <c r="H89" s="19">
        <v>0</v>
      </c>
      <c r="I89" s="30">
        <v>0</v>
      </c>
      <c r="J89" s="19">
        <v>0</v>
      </c>
      <c r="K89" s="19">
        <v>0</v>
      </c>
      <c r="L89" s="19">
        <v>0</v>
      </c>
      <c r="M89" s="19">
        <v>0</v>
      </c>
      <c r="N89" s="30">
        <v>0</v>
      </c>
      <c r="P89" s="56"/>
      <c r="Q89" s="56">
        <f t="shared" si="17"/>
        <v>10841</v>
      </c>
    </row>
    <row r="90" spans="1:17" ht="13.5" customHeight="1">
      <c r="A90" s="267"/>
      <c r="B90" s="29" t="s">
        <v>96</v>
      </c>
      <c r="C90" s="18">
        <v>-1500</v>
      </c>
      <c r="D90" s="30">
        <v>0</v>
      </c>
      <c r="E90" s="30">
        <v>0</v>
      </c>
      <c r="F90" s="30">
        <v>0</v>
      </c>
      <c r="G90" s="30">
        <v>0</v>
      </c>
      <c r="H90" s="19">
        <v>0</v>
      </c>
      <c r="I90" s="30">
        <v>140</v>
      </c>
      <c r="J90" s="19">
        <v>34970.400000000001</v>
      </c>
      <c r="K90" s="19">
        <v>0</v>
      </c>
      <c r="L90" s="19">
        <v>0</v>
      </c>
      <c r="M90" s="19">
        <v>0</v>
      </c>
      <c r="N90" s="30">
        <v>0</v>
      </c>
      <c r="P90" s="56"/>
      <c r="Q90" s="56">
        <f t="shared" si="17"/>
        <v>33610.400000000001</v>
      </c>
    </row>
    <row r="91" spans="1:17" ht="13.5" customHeight="1">
      <c r="A91" s="267"/>
      <c r="B91" s="29" t="s">
        <v>97</v>
      </c>
      <c r="C91" s="18">
        <v>40000</v>
      </c>
      <c r="D91" s="30">
        <v>0</v>
      </c>
      <c r="E91" s="30">
        <v>0</v>
      </c>
      <c r="F91" s="30">
        <v>0</v>
      </c>
      <c r="G91" s="30">
        <v>0</v>
      </c>
      <c r="H91" s="19">
        <v>0</v>
      </c>
      <c r="I91" s="30">
        <v>5410</v>
      </c>
      <c r="J91" s="19">
        <v>0</v>
      </c>
      <c r="K91" s="19">
        <v>0</v>
      </c>
      <c r="L91" s="19">
        <v>0</v>
      </c>
      <c r="M91" s="19">
        <v>4000</v>
      </c>
      <c r="N91" s="30">
        <v>475308</v>
      </c>
      <c r="Q91" s="56">
        <f t="shared" si="17"/>
        <v>45410</v>
      </c>
    </row>
    <row r="92" spans="1:17" ht="13.5" customHeight="1">
      <c r="A92" s="267"/>
      <c r="B92" s="29" t="s">
        <v>98</v>
      </c>
      <c r="C92" s="18">
        <v>52888.28</v>
      </c>
      <c r="D92" s="30">
        <v>61442</v>
      </c>
      <c r="E92" s="30">
        <v>600</v>
      </c>
      <c r="F92" s="30">
        <v>0</v>
      </c>
      <c r="G92" s="30">
        <v>0</v>
      </c>
      <c r="H92" s="19">
        <v>0</v>
      </c>
      <c r="I92" s="30">
        <v>71375</v>
      </c>
      <c r="J92" s="19">
        <v>71241</v>
      </c>
      <c r="K92" s="19">
        <v>33347</v>
      </c>
      <c r="L92" s="19">
        <v>0</v>
      </c>
      <c r="M92" s="19">
        <v>0</v>
      </c>
      <c r="N92" s="30">
        <v>0</v>
      </c>
      <c r="Q92" s="56">
        <f t="shared" si="17"/>
        <v>257546.28</v>
      </c>
    </row>
    <row r="93" spans="1:17" ht="13.5" customHeight="1">
      <c r="A93" s="267"/>
      <c r="B93" s="29" t="s">
        <v>99</v>
      </c>
      <c r="C93" s="18">
        <v>2480325.77</v>
      </c>
      <c r="D93" s="30">
        <v>3877077</v>
      </c>
      <c r="E93" s="30">
        <v>2211062.69</v>
      </c>
      <c r="F93" s="30">
        <v>0</v>
      </c>
      <c r="G93" s="30">
        <v>0</v>
      </c>
      <c r="H93" s="19">
        <v>0</v>
      </c>
      <c r="I93" s="30">
        <v>2222604.9700000002</v>
      </c>
      <c r="J93" s="19">
        <v>2328098.67</v>
      </c>
      <c r="K93" s="19">
        <v>4434724</v>
      </c>
      <c r="L93" s="19">
        <v>0</v>
      </c>
      <c r="M93" s="19">
        <v>0</v>
      </c>
      <c r="N93" s="30">
        <v>0</v>
      </c>
      <c r="Q93" s="56">
        <f t="shared" si="17"/>
        <v>13119169.1</v>
      </c>
    </row>
    <row r="94" spans="1:17" ht="13.5" customHeight="1">
      <c r="A94" s="267"/>
      <c r="B94" s="29" t="s">
        <v>100</v>
      </c>
      <c r="C94" s="18">
        <v>200331.71</v>
      </c>
      <c r="D94" s="30">
        <v>109395</v>
      </c>
      <c r="E94" s="30">
        <v>94748.46</v>
      </c>
      <c r="F94" s="30">
        <v>0</v>
      </c>
      <c r="G94" s="30">
        <v>0</v>
      </c>
      <c r="H94" s="19">
        <v>9726</v>
      </c>
      <c r="I94" s="30">
        <v>144712</v>
      </c>
      <c r="J94" s="19">
        <v>71643.5</v>
      </c>
      <c r="K94" s="19">
        <v>36617</v>
      </c>
      <c r="L94" s="19">
        <v>131043</v>
      </c>
      <c r="M94" s="19">
        <v>91965</v>
      </c>
      <c r="N94" s="30">
        <v>115725</v>
      </c>
      <c r="Q94" s="56">
        <f t="shared" si="17"/>
        <v>630556.66999999993</v>
      </c>
    </row>
    <row r="95" spans="1:17" ht="13.5" customHeight="1">
      <c r="A95" s="267"/>
      <c r="B95" s="29" t="s">
        <v>101</v>
      </c>
      <c r="C95" s="18">
        <v>0</v>
      </c>
      <c r="D95" s="30">
        <v>0</v>
      </c>
      <c r="E95" s="30">
        <v>0</v>
      </c>
      <c r="F95" s="30">
        <v>0</v>
      </c>
      <c r="G95" s="30">
        <v>0</v>
      </c>
      <c r="H95" s="19">
        <v>76731</v>
      </c>
      <c r="I95" s="30">
        <v>686437</v>
      </c>
      <c r="J95" s="19">
        <v>0</v>
      </c>
      <c r="K95" s="19">
        <v>633251</v>
      </c>
      <c r="L95" s="19">
        <v>2730514</v>
      </c>
      <c r="M95" s="19">
        <v>363603</v>
      </c>
      <c r="N95" s="30">
        <v>1978900</v>
      </c>
      <c r="Q95" s="56">
        <f t="shared" si="17"/>
        <v>763168</v>
      </c>
    </row>
    <row r="96" spans="1:17" ht="13.5" customHeight="1">
      <c r="A96" s="267"/>
      <c r="B96" s="29" t="s">
        <v>182</v>
      </c>
      <c r="C96" s="18">
        <v>0</v>
      </c>
      <c r="D96" s="30">
        <v>0</v>
      </c>
      <c r="E96" s="30">
        <v>0</v>
      </c>
      <c r="F96" s="30">
        <v>0</v>
      </c>
      <c r="G96" s="30">
        <v>0</v>
      </c>
      <c r="H96" s="19">
        <v>0</v>
      </c>
      <c r="I96" s="30">
        <v>0</v>
      </c>
      <c r="J96" s="19">
        <v>0</v>
      </c>
      <c r="K96" s="19">
        <v>0</v>
      </c>
      <c r="L96" s="19">
        <v>0</v>
      </c>
      <c r="M96" s="19">
        <v>0</v>
      </c>
      <c r="N96" s="30">
        <v>0</v>
      </c>
      <c r="Q96" s="56">
        <f>SUM(C96:N96)</f>
        <v>0</v>
      </c>
    </row>
    <row r="97" spans="1:17" ht="13.5" customHeight="1">
      <c r="A97" s="267"/>
      <c r="B97" s="29" t="s">
        <v>102</v>
      </c>
      <c r="C97" s="298">
        <f>-1743117.69-200331.84</f>
        <v>-1943449.53</v>
      </c>
      <c r="D97" s="30">
        <f>-2266521-82548</f>
        <v>-2349069</v>
      </c>
      <c r="E97" s="30">
        <f>-1400462.24-94748.46</f>
        <v>-1495210.7</v>
      </c>
      <c r="F97" s="30">
        <v>0</v>
      </c>
      <c r="G97" s="30">
        <v>0</v>
      </c>
      <c r="H97" s="298">
        <f>-9726-76731</f>
        <v>-86457</v>
      </c>
      <c r="I97" s="30">
        <f>-1641616-123355-366100.96</f>
        <v>-2131071.96</v>
      </c>
      <c r="J97" s="19">
        <f>-1932572.07-71643.5</f>
        <v>-2004215.57</v>
      </c>
      <c r="K97" s="19">
        <f>-2619900-35517-232192</f>
        <v>-2887609</v>
      </c>
      <c r="L97" s="19">
        <f>-123376-2033865</f>
        <v>-2157241</v>
      </c>
      <c r="M97" s="19">
        <f>-17257-254845</f>
        <v>-272102</v>
      </c>
      <c r="N97" s="30">
        <f>-112967-1228786</f>
        <v>-1341753</v>
      </c>
      <c r="P97" s="20"/>
      <c r="Q97" s="20">
        <f>SUM(C91:J97)</f>
        <v>4806376.2900000038</v>
      </c>
    </row>
    <row r="98" spans="1:17" ht="13.5" customHeight="1">
      <c r="A98" s="267"/>
      <c r="B98" s="29" t="s">
        <v>103</v>
      </c>
      <c r="C98" s="18">
        <v>0</v>
      </c>
      <c r="D98" s="30">
        <v>0</v>
      </c>
      <c r="E98" s="30">
        <v>0</v>
      </c>
      <c r="F98" s="30">
        <v>0</v>
      </c>
      <c r="G98" s="30"/>
      <c r="H98" s="19">
        <v>0</v>
      </c>
      <c r="I98" s="30">
        <v>0</v>
      </c>
      <c r="J98" s="19">
        <v>0</v>
      </c>
      <c r="K98" s="19">
        <v>0</v>
      </c>
      <c r="L98" s="19">
        <v>0</v>
      </c>
      <c r="M98" s="19">
        <v>0</v>
      </c>
      <c r="N98" s="30">
        <v>0</v>
      </c>
      <c r="P98" s="20"/>
      <c r="Q98" s="20"/>
    </row>
    <row r="99" spans="1:17" s="22" customFormat="1" ht="13.5" customHeight="1">
      <c r="A99" s="250" t="s">
        <v>104</v>
      </c>
      <c r="B99" s="23"/>
      <c r="C99" s="24">
        <f>SUM(C85:C98)</f>
        <v>930553.34999999986</v>
      </c>
      <c r="D99" s="24">
        <f t="shared" ref="D99:N99" si="18">SUM(D85:D98)</f>
        <v>2351610</v>
      </c>
      <c r="E99" s="24">
        <f t="shared" si="18"/>
        <v>1233187.1500000001</v>
      </c>
      <c r="F99" s="24">
        <f t="shared" si="18"/>
        <v>1916806</v>
      </c>
      <c r="G99" s="24">
        <f t="shared" si="18"/>
        <v>2681704</v>
      </c>
      <c r="H99" s="24">
        <f t="shared" si="18"/>
        <v>801531</v>
      </c>
      <c r="I99" s="24">
        <f t="shared" si="18"/>
        <v>1144991.1000000001</v>
      </c>
      <c r="J99" s="24">
        <f t="shared" si="18"/>
        <v>672723.74</v>
      </c>
      <c r="K99" s="24">
        <f t="shared" si="18"/>
        <v>2370549</v>
      </c>
      <c r="L99" s="24">
        <f t="shared" si="18"/>
        <v>1350617.3399999999</v>
      </c>
      <c r="M99" s="24">
        <f t="shared" si="18"/>
        <v>590048.25</v>
      </c>
      <c r="N99" s="24">
        <f t="shared" si="18"/>
        <v>1501106</v>
      </c>
      <c r="P99" s="34"/>
      <c r="Q99" s="197">
        <f>SUM(C99:J99)</f>
        <v>11733106.34</v>
      </c>
    </row>
    <row r="100" spans="1:17" s="22" customFormat="1" ht="13.5" customHeight="1">
      <c r="A100" s="250" t="s">
        <v>205</v>
      </c>
      <c r="B100" s="23"/>
      <c r="C100" s="24">
        <v>116083.62</v>
      </c>
      <c r="D100" s="24">
        <v>132347</v>
      </c>
      <c r="E100" s="24">
        <v>0</v>
      </c>
      <c r="F100" s="24">
        <v>115876</v>
      </c>
      <c r="G100" s="24">
        <v>0</v>
      </c>
      <c r="H100" s="24">
        <v>0</v>
      </c>
      <c r="I100" s="24">
        <v>0</v>
      </c>
      <c r="J100" s="24">
        <v>79882.960000000006</v>
      </c>
      <c r="K100" s="24">
        <v>0</v>
      </c>
      <c r="L100" s="24">
        <v>0</v>
      </c>
      <c r="M100" s="194">
        <v>0</v>
      </c>
      <c r="N100" s="24">
        <v>0</v>
      </c>
      <c r="P100" s="34"/>
      <c r="Q100" s="197">
        <f>SUM(C100:J100)</f>
        <v>444189.58</v>
      </c>
    </row>
    <row r="101" spans="1:17" s="45" customFormat="1" ht="13.5" customHeight="1">
      <c r="A101" s="272" t="s">
        <v>202</v>
      </c>
      <c r="B101" s="195"/>
      <c r="C101" s="196">
        <f>+C99+C100</f>
        <v>1046636.9699999999</v>
      </c>
      <c r="D101" s="196">
        <f t="shared" ref="D101:N101" si="19">+D99+D100</f>
        <v>2483957</v>
      </c>
      <c r="E101" s="196">
        <f t="shared" si="19"/>
        <v>1233187.1500000001</v>
      </c>
      <c r="F101" s="196">
        <f t="shared" si="19"/>
        <v>2032682</v>
      </c>
      <c r="G101" s="196">
        <f t="shared" si="19"/>
        <v>2681704</v>
      </c>
      <c r="H101" s="196">
        <f t="shared" si="19"/>
        <v>801531</v>
      </c>
      <c r="I101" s="196">
        <f t="shared" si="19"/>
        <v>1144991.1000000001</v>
      </c>
      <c r="J101" s="196">
        <f t="shared" si="19"/>
        <v>752606.7</v>
      </c>
      <c r="K101" s="196">
        <f t="shared" si="19"/>
        <v>2370549</v>
      </c>
      <c r="L101" s="196">
        <f t="shared" si="19"/>
        <v>1350617.3399999999</v>
      </c>
      <c r="M101" s="196">
        <f t="shared" si="19"/>
        <v>590048.25</v>
      </c>
      <c r="N101" s="196">
        <f t="shared" si="19"/>
        <v>1501106</v>
      </c>
      <c r="P101" s="197"/>
      <c r="Q101" s="197">
        <f>SUM(C101:J101)</f>
        <v>12177295.92</v>
      </c>
    </row>
    <row r="102" spans="1:17" ht="13.5" customHeight="1">
      <c r="A102" s="262" t="s">
        <v>203</v>
      </c>
      <c r="B102" s="29"/>
      <c r="C102" s="53"/>
      <c r="D102" s="54"/>
      <c r="E102" s="54"/>
      <c r="F102" s="54"/>
      <c r="G102" s="54"/>
      <c r="H102" s="55"/>
      <c r="I102" s="54"/>
      <c r="J102" s="55"/>
      <c r="K102" s="55"/>
      <c r="L102" s="55"/>
      <c r="M102" s="55"/>
      <c r="N102" s="54"/>
    </row>
    <row r="103" spans="1:17" ht="13.5" customHeight="1">
      <c r="A103" s="267"/>
      <c r="B103" s="29" t="s">
        <v>105</v>
      </c>
      <c r="C103" s="18">
        <v>0</v>
      </c>
      <c r="D103" s="30">
        <v>0</v>
      </c>
      <c r="E103" s="30">
        <v>0</v>
      </c>
      <c r="F103" s="30">
        <v>0</v>
      </c>
      <c r="G103" s="30">
        <v>0</v>
      </c>
      <c r="H103" s="19">
        <v>5355</v>
      </c>
      <c r="I103" s="30">
        <v>-5065.5</v>
      </c>
      <c r="J103" s="19">
        <v>0</v>
      </c>
      <c r="K103" s="19">
        <v>0</v>
      </c>
      <c r="L103" s="19">
        <v>894</v>
      </c>
      <c r="M103" s="19">
        <v>-2325</v>
      </c>
      <c r="N103" s="30">
        <v>0</v>
      </c>
      <c r="P103" s="56"/>
      <c r="Q103" s="56">
        <f t="shared" ref="Q103:Q115" si="20">SUM(C103:J103)</f>
        <v>289.5</v>
      </c>
    </row>
    <row r="104" spans="1:17" ht="13.5" customHeight="1">
      <c r="A104" s="267"/>
      <c r="B104" s="29" t="s">
        <v>106</v>
      </c>
      <c r="C104" s="18">
        <v>16346.260000000002</v>
      </c>
      <c r="D104" s="30">
        <f>288586+540</f>
        <v>289126</v>
      </c>
      <c r="E104" s="30">
        <v>238.85</v>
      </c>
      <c r="F104" s="30">
        <v>11202</v>
      </c>
      <c r="G104" s="30">
        <v>17200</v>
      </c>
      <c r="H104" s="19">
        <v>6547</v>
      </c>
      <c r="I104" s="30">
        <v>0</v>
      </c>
      <c r="J104" s="19">
        <v>0</v>
      </c>
      <c r="K104" s="19">
        <v>6423</v>
      </c>
      <c r="L104" s="19">
        <v>0.03</v>
      </c>
      <c r="M104" s="19">
        <v>9830.630000000001</v>
      </c>
      <c r="N104" s="30">
        <v>21974</v>
      </c>
      <c r="P104" s="56"/>
      <c r="Q104" s="56">
        <f t="shared" si="20"/>
        <v>340660.11</v>
      </c>
    </row>
    <row r="105" spans="1:17" ht="13.5" customHeight="1">
      <c r="A105" s="267"/>
      <c r="B105" s="29" t="s">
        <v>107</v>
      </c>
      <c r="C105" s="18">
        <v>7677.86</v>
      </c>
      <c r="D105" s="30">
        <v>7039</v>
      </c>
      <c r="E105" s="30">
        <v>104.15</v>
      </c>
      <c r="F105" s="30">
        <v>3657</v>
      </c>
      <c r="G105" s="30">
        <v>0</v>
      </c>
      <c r="H105" s="19">
        <v>0</v>
      </c>
      <c r="I105" s="30">
        <v>-5972.96</v>
      </c>
      <c r="J105" s="19">
        <v>542.9</v>
      </c>
      <c r="K105" s="19">
        <v>0</v>
      </c>
      <c r="L105" s="19">
        <v>676</v>
      </c>
      <c r="M105" s="19">
        <v>1285.3</v>
      </c>
      <c r="N105" s="30">
        <v>0</v>
      </c>
      <c r="P105" s="56"/>
      <c r="Q105" s="56">
        <f t="shared" si="20"/>
        <v>13047.950000000003</v>
      </c>
    </row>
    <row r="106" spans="1:17" ht="13.5" customHeight="1">
      <c r="A106" s="267"/>
      <c r="B106" s="29" t="s">
        <v>108</v>
      </c>
      <c r="C106" s="18">
        <v>0</v>
      </c>
      <c r="D106" s="30">
        <v>21819</v>
      </c>
      <c r="E106" s="30">
        <v>323737.73</v>
      </c>
      <c r="F106" s="30">
        <v>42009</v>
      </c>
      <c r="G106" s="30">
        <v>0</v>
      </c>
      <c r="H106" s="19">
        <v>494133</v>
      </c>
      <c r="I106" s="30">
        <v>-5705.25</v>
      </c>
      <c r="J106" s="19">
        <v>0</v>
      </c>
      <c r="K106" s="19">
        <v>2450</v>
      </c>
      <c r="L106" s="19">
        <v>54145</v>
      </c>
      <c r="M106" s="19">
        <v>0</v>
      </c>
      <c r="N106" s="30">
        <v>3195</v>
      </c>
      <c r="P106" s="56"/>
      <c r="Q106" s="56">
        <f t="shared" si="20"/>
        <v>875993.48</v>
      </c>
    </row>
    <row r="107" spans="1:17" ht="13.5" customHeight="1">
      <c r="A107" s="267"/>
      <c r="B107" s="29" t="s">
        <v>109</v>
      </c>
      <c r="C107" s="18">
        <v>-4502.88</v>
      </c>
      <c r="D107" s="30">
        <v>0</v>
      </c>
      <c r="E107" s="30">
        <v>0</v>
      </c>
      <c r="F107" s="30">
        <v>0</v>
      </c>
      <c r="G107" s="30">
        <v>761</v>
      </c>
      <c r="H107" s="19">
        <v>0</v>
      </c>
      <c r="I107" s="30">
        <v>-883.01000000000022</v>
      </c>
      <c r="J107" s="19">
        <v>0</v>
      </c>
      <c r="K107" s="19">
        <v>0</v>
      </c>
      <c r="L107" s="19">
        <v>0</v>
      </c>
      <c r="M107" s="19">
        <v>6089.91</v>
      </c>
      <c r="N107" s="30">
        <v>300</v>
      </c>
      <c r="P107" s="56"/>
      <c r="Q107" s="56">
        <f t="shared" si="20"/>
        <v>-4624.8900000000003</v>
      </c>
    </row>
    <row r="108" spans="1:17" ht="13.5" customHeight="1">
      <c r="A108" s="267"/>
      <c r="B108" s="29" t="s">
        <v>110</v>
      </c>
      <c r="C108" s="18">
        <v>8545</v>
      </c>
      <c r="D108" s="30">
        <v>25055</v>
      </c>
      <c r="E108" s="30">
        <v>300</v>
      </c>
      <c r="F108" s="30">
        <v>0</v>
      </c>
      <c r="G108" s="30">
        <v>0</v>
      </c>
      <c r="H108" s="19">
        <v>0</v>
      </c>
      <c r="I108" s="30">
        <v>7114.75</v>
      </c>
      <c r="J108" s="19">
        <v>0</v>
      </c>
      <c r="K108" s="19">
        <v>0</v>
      </c>
      <c r="L108" s="19">
        <v>0</v>
      </c>
      <c r="M108" s="19">
        <v>1200</v>
      </c>
      <c r="N108" s="30">
        <v>0</v>
      </c>
      <c r="P108" s="56"/>
      <c r="Q108" s="56">
        <f t="shared" si="20"/>
        <v>41014.75</v>
      </c>
    </row>
    <row r="109" spans="1:17" ht="13.5" customHeight="1">
      <c r="A109" s="267"/>
      <c r="B109" s="29" t="s">
        <v>111</v>
      </c>
      <c r="C109" s="18">
        <v>22665</v>
      </c>
      <c r="D109" s="30">
        <v>6968</v>
      </c>
      <c r="E109" s="30">
        <v>0</v>
      </c>
      <c r="F109" s="30">
        <v>19073</v>
      </c>
      <c r="G109" s="30">
        <v>0</v>
      </c>
      <c r="H109" s="19">
        <v>0</v>
      </c>
      <c r="I109" s="30">
        <v>0</v>
      </c>
      <c r="J109" s="19">
        <v>12808.15</v>
      </c>
      <c r="K109" s="19">
        <v>0</v>
      </c>
      <c r="L109" s="19">
        <v>5073</v>
      </c>
      <c r="M109" s="19">
        <v>0</v>
      </c>
      <c r="N109" s="30">
        <v>3477</v>
      </c>
      <c r="P109" s="56"/>
      <c r="Q109" s="56">
        <f t="shared" si="20"/>
        <v>61514.15</v>
      </c>
    </row>
    <row r="110" spans="1:17" ht="13.5" customHeight="1">
      <c r="A110" s="267"/>
      <c r="B110" s="29" t="s">
        <v>112</v>
      </c>
      <c r="C110" s="18">
        <v>120080</v>
      </c>
      <c r="D110" s="30">
        <v>0</v>
      </c>
      <c r="E110" s="30">
        <v>0</v>
      </c>
      <c r="F110" s="30">
        <v>0</v>
      </c>
      <c r="G110" s="30">
        <v>0</v>
      </c>
      <c r="H110" s="19">
        <v>0</v>
      </c>
      <c r="I110" s="30">
        <v>28465.14</v>
      </c>
      <c r="J110" s="19">
        <v>124156.4</v>
      </c>
      <c r="K110" s="19">
        <v>136067</v>
      </c>
      <c r="L110" s="19">
        <v>0</v>
      </c>
      <c r="M110" s="19">
        <v>0</v>
      </c>
      <c r="N110" s="30">
        <v>0</v>
      </c>
      <c r="P110" s="56"/>
      <c r="Q110" s="56">
        <f t="shared" si="20"/>
        <v>272701.54000000004</v>
      </c>
    </row>
    <row r="111" spans="1:17" ht="13.5" customHeight="1">
      <c r="A111" s="267"/>
      <c r="B111" s="29" t="s">
        <v>208</v>
      </c>
      <c r="C111" s="18">
        <v>371306.44</v>
      </c>
      <c r="D111" s="30">
        <v>398325</v>
      </c>
      <c r="E111" s="30">
        <v>0</v>
      </c>
      <c r="F111" s="30">
        <v>394133</v>
      </c>
      <c r="G111" s="30">
        <v>0</v>
      </c>
      <c r="H111" s="19">
        <v>0</v>
      </c>
      <c r="I111" s="30">
        <v>0</v>
      </c>
      <c r="J111" s="19">
        <v>282127.7</v>
      </c>
      <c r="K111" s="19">
        <v>0</v>
      </c>
      <c r="L111" s="19">
        <v>147205</v>
      </c>
      <c r="M111" s="19">
        <v>0</v>
      </c>
      <c r="N111" s="30">
        <v>0</v>
      </c>
      <c r="P111" s="56"/>
      <c r="Q111" s="56">
        <f t="shared" si="20"/>
        <v>1445892.14</v>
      </c>
    </row>
    <row r="112" spans="1:17" ht="13.5" customHeight="1">
      <c r="A112" s="267"/>
      <c r="B112" s="29" t="s">
        <v>238</v>
      </c>
      <c r="C112" s="18">
        <v>0</v>
      </c>
      <c r="D112" s="30">
        <v>0</v>
      </c>
      <c r="E112" s="30">
        <v>0</v>
      </c>
      <c r="F112" s="30">
        <v>0</v>
      </c>
      <c r="G112" s="30">
        <v>0</v>
      </c>
      <c r="H112" s="19">
        <v>0</v>
      </c>
      <c r="I112" s="30">
        <v>0</v>
      </c>
      <c r="J112" s="19">
        <v>0</v>
      </c>
      <c r="K112" s="19">
        <v>0</v>
      </c>
      <c r="L112" s="19">
        <v>0</v>
      </c>
      <c r="M112" s="19">
        <v>0</v>
      </c>
      <c r="N112" s="30">
        <v>0</v>
      </c>
      <c r="P112" s="56"/>
      <c r="Q112" s="56">
        <f t="shared" si="20"/>
        <v>0</v>
      </c>
    </row>
    <row r="113" spans="1:17" ht="13.5" customHeight="1">
      <c r="A113" s="250" t="s">
        <v>207</v>
      </c>
      <c r="B113" s="23"/>
      <c r="C113" s="24">
        <f>SUM(C103:C112)</f>
        <v>542117.67999999993</v>
      </c>
      <c r="D113" s="24">
        <f t="shared" ref="D113:N113" si="21">SUM(D103:D112)</f>
        <v>748332</v>
      </c>
      <c r="E113" s="24">
        <f>SUM(E103:E112)</f>
        <v>324380.73</v>
      </c>
      <c r="F113" s="24">
        <f t="shared" si="21"/>
        <v>470074</v>
      </c>
      <c r="G113" s="24">
        <f t="shared" si="21"/>
        <v>17961</v>
      </c>
      <c r="H113" s="24">
        <f t="shared" si="21"/>
        <v>506035</v>
      </c>
      <c r="I113" s="24">
        <f>SUM(I103:I112)</f>
        <v>17953.169999999998</v>
      </c>
      <c r="J113" s="24">
        <f t="shared" si="21"/>
        <v>419635.15</v>
      </c>
      <c r="K113" s="24">
        <f t="shared" si="21"/>
        <v>144940</v>
      </c>
      <c r="L113" s="24">
        <f t="shared" si="21"/>
        <v>207993.03</v>
      </c>
      <c r="M113" s="24">
        <f t="shared" si="21"/>
        <v>16080.84</v>
      </c>
      <c r="N113" s="24">
        <f t="shared" si="21"/>
        <v>28946</v>
      </c>
      <c r="P113" s="56"/>
      <c r="Q113" s="58">
        <f t="shared" si="20"/>
        <v>3046488.73</v>
      </c>
    </row>
    <row r="114" spans="1:17" ht="13.5" customHeight="1">
      <c r="A114" s="250" t="s">
        <v>206</v>
      </c>
      <c r="B114" s="23"/>
      <c r="C114" s="24">
        <v>3465.26</v>
      </c>
      <c r="D114" s="24">
        <v>3717</v>
      </c>
      <c r="E114" s="24">
        <v>0</v>
      </c>
      <c r="F114" s="24">
        <v>3678</v>
      </c>
      <c r="G114" s="24">
        <v>0</v>
      </c>
      <c r="H114" s="24">
        <v>0</v>
      </c>
      <c r="I114" s="24">
        <v>0</v>
      </c>
      <c r="J114" s="24">
        <v>2632.99</v>
      </c>
      <c r="K114" s="24">
        <v>0</v>
      </c>
      <c r="L114" s="24">
        <v>0</v>
      </c>
      <c r="M114" s="194">
        <v>0</v>
      </c>
      <c r="N114" s="24">
        <v>0</v>
      </c>
      <c r="P114" s="56"/>
      <c r="Q114" s="58">
        <f t="shared" si="20"/>
        <v>13493.25</v>
      </c>
    </row>
    <row r="115" spans="1:17" s="22" customFormat="1" ht="13.5" customHeight="1">
      <c r="A115" s="272" t="s">
        <v>204</v>
      </c>
      <c r="B115" s="195"/>
      <c r="C115" s="196">
        <f>+C113+C114</f>
        <v>545582.93999999994</v>
      </c>
      <c r="D115" s="196">
        <f t="shared" ref="D115:N115" si="22">+D113+D114</f>
        <v>752049</v>
      </c>
      <c r="E115" s="196">
        <f t="shared" si="22"/>
        <v>324380.73</v>
      </c>
      <c r="F115" s="196">
        <f t="shared" si="22"/>
        <v>473752</v>
      </c>
      <c r="G115" s="196">
        <f t="shared" si="22"/>
        <v>17961</v>
      </c>
      <c r="H115" s="196">
        <f t="shared" si="22"/>
        <v>506035</v>
      </c>
      <c r="I115" s="196">
        <f t="shared" si="22"/>
        <v>17953.169999999998</v>
      </c>
      <c r="J115" s="196">
        <f t="shared" si="22"/>
        <v>422268.14</v>
      </c>
      <c r="K115" s="196">
        <f t="shared" si="22"/>
        <v>144940</v>
      </c>
      <c r="L115" s="196">
        <f t="shared" si="22"/>
        <v>207993.03</v>
      </c>
      <c r="M115" s="196">
        <f t="shared" si="22"/>
        <v>16080.84</v>
      </c>
      <c r="N115" s="196">
        <f t="shared" si="22"/>
        <v>28946</v>
      </c>
      <c r="P115" s="58"/>
      <c r="Q115" s="58">
        <f t="shared" si="20"/>
        <v>3059981.98</v>
      </c>
    </row>
    <row r="116" spans="1:17" ht="13.5" customHeight="1">
      <c r="A116" s="262" t="s">
        <v>113</v>
      </c>
      <c r="B116" s="29"/>
      <c r="C116" s="53"/>
      <c r="D116" s="54"/>
      <c r="E116" s="54"/>
      <c r="F116" s="54"/>
      <c r="G116" s="30"/>
      <c r="H116" s="55"/>
      <c r="I116" s="54"/>
      <c r="J116" s="55"/>
      <c r="K116" s="55"/>
      <c r="L116" s="55"/>
      <c r="M116" s="55"/>
      <c r="N116" s="54"/>
    </row>
    <row r="117" spans="1:17" ht="13.5" customHeight="1">
      <c r="A117" s="267"/>
      <c r="B117" s="29" t="s">
        <v>114</v>
      </c>
      <c r="C117" s="18">
        <v>0</v>
      </c>
      <c r="D117" s="30">
        <v>162560</v>
      </c>
      <c r="E117" s="30"/>
      <c r="F117" s="30">
        <v>0</v>
      </c>
      <c r="G117" s="30">
        <v>-20800</v>
      </c>
      <c r="H117" s="19">
        <v>177261</v>
      </c>
      <c r="I117" s="30">
        <v>53723.96</v>
      </c>
      <c r="J117" s="19">
        <v>0</v>
      </c>
      <c r="K117" s="19">
        <v>182114</v>
      </c>
      <c r="L117" s="19">
        <v>0</v>
      </c>
      <c r="M117" s="19">
        <v>80625</v>
      </c>
      <c r="N117" s="30">
        <v>47721</v>
      </c>
      <c r="P117" s="56"/>
      <c r="Q117" s="56">
        <f>SUM(C117:J117)</f>
        <v>372744.96000000002</v>
      </c>
    </row>
    <row r="118" spans="1:17" ht="13.5" customHeight="1">
      <c r="A118" s="267"/>
      <c r="B118" s="29" t="s">
        <v>40</v>
      </c>
      <c r="C118" s="18">
        <f t="shared" ref="C118:G119" si="23">C64</f>
        <v>49725.880000000296</v>
      </c>
      <c r="D118" s="18">
        <f t="shared" si="23"/>
        <v>140200</v>
      </c>
      <c r="E118" s="18">
        <f t="shared" si="23"/>
        <v>97606</v>
      </c>
      <c r="F118" s="18">
        <f t="shared" si="23"/>
        <v>-1550615</v>
      </c>
      <c r="G118" s="18">
        <f t="shared" si="23"/>
        <v>-315457</v>
      </c>
      <c r="H118" s="18">
        <f t="shared" ref="H118:N118" si="24">H64</f>
        <v>118236</v>
      </c>
      <c r="I118" s="18">
        <f t="shared" si="24"/>
        <v>102312.14</v>
      </c>
      <c r="J118" s="18">
        <f t="shared" si="24"/>
        <v>122175.09</v>
      </c>
      <c r="K118" s="18">
        <f t="shared" si="24"/>
        <v>-70768</v>
      </c>
      <c r="L118" s="18">
        <f t="shared" si="24"/>
        <v>585513</v>
      </c>
      <c r="M118" s="18">
        <f t="shared" si="24"/>
        <v>305875.43</v>
      </c>
      <c r="N118" s="18">
        <f t="shared" si="24"/>
        <v>196259</v>
      </c>
      <c r="P118" s="56"/>
      <c r="Q118" s="56">
        <f t="shared" ref="Q118:Q124" si="25">SUM(C118:J118)</f>
        <v>-1235816.8899999997</v>
      </c>
    </row>
    <row r="119" spans="1:17" ht="13.5" customHeight="1">
      <c r="A119" s="267"/>
      <c r="B119" s="29" t="s">
        <v>234</v>
      </c>
      <c r="C119" s="18">
        <f t="shared" si="23"/>
        <v>-258688.08000000002</v>
      </c>
      <c r="D119" s="18">
        <f t="shared" si="23"/>
        <v>-269696</v>
      </c>
      <c r="E119" s="18">
        <f t="shared" si="23"/>
        <v>0</v>
      </c>
      <c r="F119" s="18">
        <f t="shared" si="23"/>
        <v>-281935</v>
      </c>
      <c r="G119" s="18">
        <f t="shared" si="23"/>
        <v>0</v>
      </c>
      <c r="H119" s="18">
        <f t="shared" ref="H119:N119" si="26">H65</f>
        <v>0</v>
      </c>
      <c r="I119" s="18">
        <f t="shared" si="26"/>
        <v>0</v>
      </c>
      <c r="J119" s="18">
        <f t="shared" si="26"/>
        <v>-204877.72999999998</v>
      </c>
      <c r="K119" s="18">
        <f t="shared" si="26"/>
        <v>0</v>
      </c>
      <c r="L119" s="18">
        <f t="shared" si="26"/>
        <v>-147205</v>
      </c>
      <c r="M119" s="18">
        <f t="shared" si="26"/>
        <v>0</v>
      </c>
      <c r="N119" s="18">
        <f t="shared" si="26"/>
        <v>0</v>
      </c>
      <c r="P119" s="56"/>
      <c r="Q119" s="56">
        <f t="shared" si="25"/>
        <v>-1015196.81</v>
      </c>
    </row>
    <row r="120" spans="1:17" ht="13.5" customHeight="1">
      <c r="A120" s="267"/>
      <c r="B120" s="29" t="s">
        <v>41</v>
      </c>
      <c r="C120" s="18">
        <f t="shared" ref="C120:F120" si="27">C66</f>
        <v>0</v>
      </c>
      <c r="D120" s="18">
        <f t="shared" si="27"/>
        <v>0</v>
      </c>
      <c r="E120" s="18">
        <f t="shared" si="27"/>
        <v>0</v>
      </c>
      <c r="F120" s="18">
        <f t="shared" si="27"/>
        <v>3391485</v>
      </c>
      <c r="G120" s="18">
        <f>G66</f>
        <v>3000000</v>
      </c>
      <c r="H120" s="18">
        <f t="shared" ref="H120:N120" si="28">H66</f>
        <v>0</v>
      </c>
      <c r="I120" s="18">
        <f t="shared" si="28"/>
        <v>0</v>
      </c>
      <c r="J120" s="18">
        <f t="shared" si="28"/>
        <v>70430</v>
      </c>
      <c r="K120" s="18">
        <f t="shared" si="28"/>
        <v>0</v>
      </c>
      <c r="L120" s="18">
        <f t="shared" si="28"/>
        <v>0</v>
      </c>
      <c r="M120" s="18">
        <f t="shared" si="28"/>
        <v>0</v>
      </c>
      <c r="N120" s="18">
        <f t="shared" si="28"/>
        <v>0</v>
      </c>
      <c r="P120" s="56"/>
      <c r="Q120" s="56">
        <f t="shared" si="25"/>
        <v>6461915</v>
      </c>
    </row>
    <row r="121" spans="1:17" ht="13.5" customHeight="1">
      <c r="A121" s="267"/>
      <c r="B121" s="29" t="s">
        <v>115</v>
      </c>
      <c r="C121" s="18">
        <f t="shared" ref="C121:F121" si="29">C67</f>
        <v>710016.22999999975</v>
      </c>
      <c r="D121" s="18">
        <f t="shared" si="29"/>
        <v>1698846</v>
      </c>
      <c r="E121" s="18">
        <f t="shared" si="29"/>
        <v>811200.45</v>
      </c>
      <c r="F121" s="18">
        <f t="shared" si="29"/>
        <v>0</v>
      </c>
      <c r="G121" s="18">
        <f>G67</f>
        <v>0</v>
      </c>
      <c r="H121" s="18">
        <f t="shared" ref="H121:N121" si="30">H67</f>
        <v>0</v>
      </c>
      <c r="I121" s="18">
        <f t="shared" si="30"/>
        <v>971001.83000000019</v>
      </c>
      <c r="J121" s="18">
        <f t="shared" si="30"/>
        <v>342611.19999999984</v>
      </c>
      <c r="K121" s="18">
        <f t="shared" si="30"/>
        <v>2114263</v>
      </c>
      <c r="L121" s="18">
        <f t="shared" si="30"/>
        <v>704316</v>
      </c>
      <c r="M121" s="18">
        <f t="shared" si="30"/>
        <v>187466</v>
      </c>
      <c r="N121" s="18">
        <f t="shared" si="30"/>
        <v>1228180</v>
      </c>
      <c r="P121" s="56"/>
      <c r="Q121" s="56">
        <f t="shared" si="25"/>
        <v>4533675.71</v>
      </c>
    </row>
    <row r="122" spans="1:17" ht="13.5" customHeight="1">
      <c r="A122" s="273"/>
      <c r="B122" s="60" t="s">
        <v>103</v>
      </c>
      <c r="C122" s="61">
        <v>0</v>
      </c>
      <c r="D122" s="62">
        <v>0</v>
      </c>
      <c r="E122" s="62">
        <v>0</v>
      </c>
      <c r="F122" s="62">
        <v>0</v>
      </c>
      <c r="G122" s="62">
        <v>0</v>
      </c>
      <c r="H122" s="62">
        <v>0</v>
      </c>
      <c r="I122" s="62">
        <v>0</v>
      </c>
      <c r="J122" s="62">
        <v>0</v>
      </c>
      <c r="K122" s="62">
        <v>0</v>
      </c>
      <c r="L122" s="63">
        <v>0</v>
      </c>
      <c r="M122" s="63">
        <v>0</v>
      </c>
      <c r="N122" s="30">
        <v>0</v>
      </c>
      <c r="P122" s="56"/>
      <c r="Q122" s="56">
        <f t="shared" si="25"/>
        <v>0</v>
      </c>
    </row>
    <row r="123" spans="1:17" s="22" customFormat="1" ht="13.5" customHeight="1">
      <c r="A123" s="250" t="s">
        <v>43</v>
      </c>
      <c r="B123" s="64"/>
      <c r="C123" s="65">
        <f t="shared" ref="C123:K123" si="31">SUM(C117:C122)</f>
        <v>501054.03</v>
      </c>
      <c r="D123" s="65">
        <f t="shared" si="31"/>
        <v>1731910</v>
      </c>
      <c r="E123" s="65">
        <f t="shared" si="31"/>
        <v>908806.45</v>
      </c>
      <c r="F123" s="65">
        <f t="shared" si="31"/>
        <v>1558935</v>
      </c>
      <c r="G123" s="65">
        <f t="shared" si="31"/>
        <v>2663743</v>
      </c>
      <c r="H123" s="65">
        <f>SUM(H117:H122)</f>
        <v>295497</v>
      </c>
      <c r="I123" s="65">
        <f t="shared" si="31"/>
        <v>1127037.9300000002</v>
      </c>
      <c r="J123" s="65">
        <f t="shared" ref="J123" si="32">SUM(J117:J122)</f>
        <v>330338.55999999982</v>
      </c>
      <c r="K123" s="65">
        <f t="shared" si="31"/>
        <v>2225609</v>
      </c>
      <c r="L123" s="65">
        <f>SUM(L117:L122)</f>
        <v>1142624</v>
      </c>
      <c r="M123" s="65">
        <f>SUM(M117:M122)</f>
        <v>573966.42999999993</v>
      </c>
      <c r="N123" s="24">
        <f>SUM(N117:N122)</f>
        <v>1472160</v>
      </c>
      <c r="O123" s="66"/>
      <c r="P123" s="58"/>
      <c r="Q123" s="58">
        <f t="shared" si="25"/>
        <v>9117321.9700000007</v>
      </c>
    </row>
    <row r="124" spans="1:17" s="43" customFormat="1" ht="13.5" customHeight="1">
      <c r="A124" s="272" t="s">
        <v>209</v>
      </c>
      <c r="B124" s="195"/>
      <c r="C124" s="196">
        <f t="shared" ref="C124:L124" si="33">SUM(C115:C122)</f>
        <v>1046636.97</v>
      </c>
      <c r="D124" s="196">
        <f t="shared" si="33"/>
        <v>2483959</v>
      </c>
      <c r="E124" s="196">
        <f t="shared" si="33"/>
        <v>1233187.18</v>
      </c>
      <c r="F124" s="196">
        <f t="shared" si="33"/>
        <v>2032687</v>
      </c>
      <c r="G124" s="196">
        <f t="shared" si="33"/>
        <v>2681704</v>
      </c>
      <c r="H124" s="196">
        <f>SUM(H115:H122)</f>
        <v>801532</v>
      </c>
      <c r="I124" s="196">
        <f t="shared" si="33"/>
        <v>1144991.1000000001</v>
      </c>
      <c r="J124" s="196">
        <f t="shared" ref="J124" si="34">SUM(J115:J122)</f>
        <v>752606.69999999984</v>
      </c>
      <c r="K124" s="196">
        <f t="shared" si="33"/>
        <v>2370549</v>
      </c>
      <c r="L124" s="196">
        <f t="shared" si="33"/>
        <v>1350617.03</v>
      </c>
      <c r="M124" s="196">
        <f>SUM(M115:M122)</f>
        <v>590047.27</v>
      </c>
      <c r="N124" s="196">
        <f>SUM(N115:N122)</f>
        <v>1501106</v>
      </c>
      <c r="P124" s="58"/>
      <c r="Q124" s="58">
        <f t="shared" si="25"/>
        <v>12177303.949999997</v>
      </c>
    </row>
    <row r="125" spans="1:17" s="40" customFormat="1" ht="13.5" customHeight="1">
      <c r="A125" s="193"/>
      <c r="B125" s="51" t="s">
        <v>85</v>
      </c>
      <c r="C125" s="69">
        <f t="shared" ref="C125:N125" si="35">+C101-C124</f>
        <v>0</v>
      </c>
      <c r="D125" s="69">
        <f t="shared" si="35"/>
        <v>-2</v>
      </c>
      <c r="E125" s="46">
        <f t="shared" si="35"/>
        <v>-2.9999999795109034E-2</v>
      </c>
      <c r="F125" s="69">
        <f t="shared" si="35"/>
        <v>-5</v>
      </c>
      <c r="G125" s="69">
        <f t="shared" si="35"/>
        <v>0</v>
      </c>
      <c r="H125" s="69">
        <f t="shared" si="35"/>
        <v>-1</v>
      </c>
      <c r="I125" s="69">
        <f t="shared" si="35"/>
        <v>0</v>
      </c>
      <c r="J125" s="69">
        <f t="shared" si="35"/>
        <v>0</v>
      </c>
      <c r="K125" s="69">
        <f t="shared" si="35"/>
        <v>0</v>
      </c>
      <c r="L125" s="69">
        <f t="shared" si="35"/>
        <v>0.30999999982304871</v>
      </c>
      <c r="M125" s="69">
        <f t="shared" si="35"/>
        <v>0.97999999998137355</v>
      </c>
      <c r="N125" s="69">
        <f t="shared" si="35"/>
        <v>0</v>
      </c>
    </row>
    <row r="126" spans="1:17" s="40" customFormat="1" ht="17.25" customHeight="1">
      <c r="A126" s="193"/>
      <c r="B126" s="51"/>
      <c r="C126" s="69"/>
      <c r="D126" s="69"/>
      <c r="E126" s="46"/>
      <c r="F126" s="69"/>
      <c r="G126" s="69"/>
      <c r="H126" s="69"/>
      <c r="I126" s="69"/>
      <c r="J126" s="69"/>
      <c r="K126" s="69"/>
      <c r="L126" s="69"/>
      <c r="M126" s="69"/>
      <c r="N126" s="69"/>
    </row>
    <row r="127" spans="1:17" s="40" customFormat="1" ht="30.75" customHeight="1">
      <c r="A127" s="333" t="s">
        <v>116</v>
      </c>
      <c r="B127" s="334"/>
      <c r="C127" s="338">
        <f t="shared" ref="C127:N127" si="36">C57/(C32)</f>
        <v>-0.24377423773248902</v>
      </c>
      <c r="D127" s="338">
        <f t="shared" si="36"/>
        <v>-0.14048546377039869</v>
      </c>
      <c r="E127" s="338">
        <f t="shared" si="36"/>
        <v>1.7045428340163257E-2</v>
      </c>
      <c r="F127" s="338">
        <f t="shared" si="36"/>
        <v>-7.4981069375970364</v>
      </c>
      <c r="G127" s="338">
        <f t="shared" si="36"/>
        <v>-0.60593905058839181</v>
      </c>
      <c r="H127" s="338">
        <f t="shared" si="36"/>
        <v>-1.264389347803755E-2</v>
      </c>
      <c r="I127" s="338">
        <f t="shared" si="36"/>
        <v>-3.0576871109385884E-2</v>
      </c>
      <c r="J127" s="338">
        <f t="shared" si="36"/>
        <v>-0.1522741920907501</v>
      </c>
      <c r="K127" s="338">
        <f t="shared" si="36"/>
        <v>-0.17481345481461066</v>
      </c>
      <c r="L127" s="338">
        <f t="shared" si="36"/>
        <v>-0.14867224424405626</v>
      </c>
      <c r="M127" s="338">
        <f t="shared" si="36"/>
        <v>-0.306509774603684</v>
      </c>
      <c r="N127" s="338">
        <f t="shared" si="36"/>
        <v>-1.364130697365936</v>
      </c>
    </row>
    <row r="128" spans="1:17" s="40" customFormat="1" ht="24">
      <c r="A128" s="241"/>
      <c r="B128" s="242" t="s">
        <v>117</v>
      </c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38"/>
      <c r="N128" s="338"/>
    </row>
    <row r="129" spans="1:16" s="138" customFormat="1" ht="14.25">
      <c r="A129" s="243" t="s">
        <v>190</v>
      </c>
      <c r="B129" s="244"/>
      <c r="C129" s="339">
        <f>(SUM(C87:C88))/SUM(C103:C108)</f>
        <v>3.6327317089855993</v>
      </c>
      <c r="D129" s="339">
        <f>(SUM(D87:D88))/SUM(D103:D108)</f>
        <v>1.8801943802308192</v>
      </c>
      <c r="E129" s="339">
        <f>(SUM(E87:E88))/SUM(E103:E108)</f>
        <v>1.3008994091603407</v>
      </c>
      <c r="F129" s="339">
        <f t="shared" ref="F129:N129" si="37">(SUM(F87:F88))/SUM(F103:F108)</f>
        <v>33.652493493704718</v>
      </c>
      <c r="G129" s="339">
        <f t="shared" si="37"/>
        <v>1.6042536607093145</v>
      </c>
      <c r="H129" s="339">
        <f t="shared" si="37"/>
        <v>0.87770411137569537</v>
      </c>
      <c r="I129" s="339">
        <f t="shared" si="37"/>
        <v>-1.2417025543261633</v>
      </c>
      <c r="J129" s="339">
        <f t="shared" ref="J129" si="38">(SUM(J87:J88))/SUM(J103:J108)</f>
        <v>314.94886719469514</v>
      </c>
      <c r="K129" s="339">
        <f t="shared" si="37"/>
        <v>13.548856080243436</v>
      </c>
      <c r="L129" s="339">
        <f t="shared" si="37"/>
        <v>11.600125495759402</v>
      </c>
      <c r="M129" s="339">
        <f t="shared" si="37"/>
        <v>21.168040351125935</v>
      </c>
      <c r="N129" s="339">
        <f t="shared" si="37"/>
        <v>10.716007695629981</v>
      </c>
    </row>
    <row r="130" spans="1:16" s="138" customFormat="1" ht="36">
      <c r="A130" s="245"/>
      <c r="B130" s="246" t="s">
        <v>191</v>
      </c>
      <c r="C130" s="340"/>
      <c r="D130" s="340"/>
      <c r="E130" s="340"/>
      <c r="F130" s="340"/>
      <c r="G130" s="340"/>
      <c r="H130" s="340"/>
      <c r="I130" s="340"/>
      <c r="J130" s="340"/>
      <c r="K130" s="340"/>
      <c r="L130" s="340"/>
      <c r="M130" s="340"/>
      <c r="N130" s="340"/>
    </row>
    <row r="131" spans="1:16" s="138" customFormat="1" ht="14.25">
      <c r="A131" s="243" t="s">
        <v>192</v>
      </c>
      <c r="B131" s="244"/>
      <c r="C131" s="339">
        <f>(SUM(C87:C88))/SUM(C103:C109)</f>
        <v>2.0097502051990053</v>
      </c>
      <c r="D131" s="339">
        <f>(SUM(D87:D88))/SUM(D103:D109)</f>
        <v>1.8427631447371053</v>
      </c>
      <c r="E131" s="339">
        <f>(SUM(E87:E88))/SUM(E103:E109)</f>
        <v>1.3008994091603407</v>
      </c>
      <c r="F131" s="339">
        <f t="shared" ref="F131:N131" si="39">(SUM(F87:F88))/SUM(F103:F109)</f>
        <v>25.200484586718638</v>
      </c>
      <c r="G131" s="339">
        <f t="shared" si="39"/>
        <v>1.6042536607093145</v>
      </c>
      <c r="H131" s="339">
        <f t="shared" si="39"/>
        <v>0.87770411137569537</v>
      </c>
      <c r="I131" s="339">
        <f t="shared" si="39"/>
        <v>-1.2417025543261633</v>
      </c>
      <c r="J131" s="339">
        <f t="shared" ref="J131" si="40">(SUM(J87:J88))/SUM(J103:J109)</f>
        <v>12.80691331393411</v>
      </c>
      <c r="K131" s="339">
        <f t="shared" si="39"/>
        <v>13.548856080243436</v>
      </c>
      <c r="L131" s="339">
        <f t="shared" si="39"/>
        <v>10.632049434732462</v>
      </c>
      <c r="M131" s="339">
        <f t="shared" si="39"/>
        <v>21.168040351125935</v>
      </c>
      <c r="N131" s="339">
        <f t="shared" si="39"/>
        <v>9.4287984522904722</v>
      </c>
    </row>
    <row r="132" spans="1:16" s="138" customFormat="1" ht="24">
      <c r="A132" s="245"/>
      <c r="B132" s="246" t="s">
        <v>193</v>
      </c>
      <c r="C132" s="340"/>
      <c r="D132" s="340"/>
      <c r="E132" s="340"/>
      <c r="F132" s="340"/>
      <c r="G132" s="340"/>
      <c r="H132" s="340"/>
      <c r="I132" s="340"/>
      <c r="J132" s="340"/>
      <c r="K132" s="340"/>
      <c r="L132" s="340"/>
      <c r="M132" s="340"/>
      <c r="N132" s="340"/>
    </row>
    <row r="133" spans="1:16" s="150" customFormat="1" ht="8.1" customHeight="1">
      <c r="A133" s="152"/>
      <c r="B133" s="153"/>
      <c r="C133" s="154"/>
      <c r="D133" s="154"/>
      <c r="E133" s="154"/>
      <c r="F133" s="154"/>
      <c r="G133" s="154"/>
      <c r="H133" s="154"/>
      <c r="I133" s="154"/>
      <c r="J133" s="154"/>
      <c r="K133" s="154"/>
      <c r="L133" s="154"/>
      <c r="M133" s="154"/>
      <c r="N133" s="155"/>
    </row>
    <row r="134" spans="1:16" s="40" customFormat="1" ht="15" customHeight="1">
      <c r="A134" s="248" t="s">
        <v>118</v>
      </c>
      <c r="B134" s="64"/>
      <c r="C134" s="337">
        <f t="shared" ref="C134:N134" si="41">C115/C101</f>
        <v>0.52127237584584851</v>
      </c>
      <c r="D134" s="337">
        <f t="shared" si="41"/>
        <v>0.30276248743436379</v>
      </c>
      <c r="E134" s="337">
        <f t="shared" si="41"/>
        <v>0.26304258035773398</v>
      </c>
      <c r="F134" s="337">
        <f t="shared" si="41"/>
        <v>0.23306744488316422</v>
      </c>
      <c r="G134" s="337">
        <f t="shared" si="41"/>
        <v>6.6976071930384563E-3</v>
      </c>
      <c r="H134" s="337">
        <f t="shared" si="41"/>
        <v>0.63133553162635003</v>
      </c>
      <c r="I134" s="337">
        <f t="shared" si="41"/>
        <v>1.5679746331652707E-2</v>
      </c>
      <c r="J134" s="337">
        <f t="shared" ref="J134" si="42">J115/J101</f>
        <v>0.56107411746400881</v>
      </c>
      <c r="K134" s="337">
        <f t="shared" si="41"/>
        <v>6.1141954880493926E-2</v>
      </c>
      <c r="L134" s="337">
        <f t="shared" si="41"/>
        <v>0.15399848931304261</v>
      </c>
      <c r="M134" s="337">
        <f t="shared" si="41"/>
        <v>2.7253432240498976E-2</v>
      </c>
      <c r="N134" s="337">
        <f t="shared" si="41"/>
        <v>1.9283115249689228E-2</v>
      </c>
    </row>
    <row r="135" spans="1:16" s="40" customFormat="1" ht="25.5">
      <c r="A135" s="241"/>
      <c r="B135" s="247" t="s">
        <v>119</v>
      </c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</row>
    <row r="136" spans="1:16" s="40" customFormat="1" ht="15" customHeight="1">
      <c r="A136" s="248" t="s">
        <v>120</v>
      </c>
      <c r="B136" s="249"/>
      <c r="C136" s="337">
        <f t="shared" ref="C136:N136" si="43">C123/C101</f>
        <v>0.47872762415415165</v>
      </c>
      <c r="D136" s="337">
        <f t="shared" si="43"/>
        <v>0.69723831773255329</v>
      </c>
      <c r="E136" s="337">
        <f t="shared" si="43"/>
        <v>0.7369574439694736</v>
      </c>
      <c r="F136" s="337">
        <f t="shared" si="43"/>
        <v>0.76693501492117311</v>
      </c>
      <c r="G136" s="337">
        <f t="shared" si="43"/>
        <v>0.99330239280696153</v>
      </c>
      <c r="H136" s="337">
        <f t="shared" si="43"/>
        <v>0.36866571598603171</v>
      </c>
      <c r="I136" s="337">
        <f t="shared" si="43"/>
        <v>0.98432025366834741</v>
      </c>
      <c r="J136" s="337">
        <f t="shared" ref="J136" si="44">J123/J101</f>
        <v>0.43892588253599102</v>
      </c>
      <c r="K136" s="337">
        <f t="shared" si="43"/>
        <v>0.9388580451195061</v>
      </c>
      <c r="L136" s="337">
        <f t="shared" si="43"/>
        <v>0.84600128116228701</v>
      </c>
      <c r="M136" s="337">
        <f t="shared" si="43"/>
        <v>0.972744906878378</v>
      </c>
      <c r="N136" s="337">
        <f t="shared" si="43"/>
        <v>0.98071688475031082</v>
      </c>
    </row>
    <row r="137" spans="1:16" s="40" customFormat="1" ht="25.5" customHeight="1">
      <c r="A137" s="241"/>
      <c r="B137" s="242" t="s">
        <v>121</v>
      </c>
      <c r="C137" s="337"/>
      <c r="D137" s="337"/>
      <c r="E137" s="337"/>
      <c r="F137" s="337"/>
      <c r="G137" s="337"/>
      <c r="H137" s="337"/>
      <c r="I137" s="337"/>
      <c r="J137" s="337"/>
      <c r="K137" s="337"/>
      <c r="L137" s="337"/>
      <c r="M137" s="337"/>
      <c r="N137" s="337"/>
    </row>
    <row r="138" spans="1:16" s="40" customFormat="1" ht="15" customHeight="1">
      <c r="A138" s="335" t="s">
        <v>122</v>
      </c>
      <c r="B138" s="336"/>
      <c r="C138" s="337">
        <f t="shared" ref="C138:N138" si="45">C115/C123</f>
        <v>1.0888704757049852</v>
      </c>
      <c r="D138" s="337">
        <f t="shared" si="45"/>
        <v>0.43423099352737726</v>
      </c>
      <c r="E138" s="337">
        <f t="shared" si="45"/>
        <v>0.35693048833445229</v>
      </c>
      <c r="F138" s="337">
        <f t="shared" si="45"/>
        <v>0.30389464602436922</v>
      </c>
      <c r="G138" s="337">
        <f t="shared" si="45"/>
        <v>6.7427676018294554E-3</v>
      </c>
      <c r="H138" s="337">
        <f t="shared" si="45"/>
        <v>1.7124877748335854</v>
      </c>
      <c r="I138" s="337">
        <f t="shared" si="45"/>
        <v>1.5929517119268554E-2</v>
      </c>
      <c r="J138" s="337">
        <f t="shared" ref="J138" si="46">J115/J123</f>
        <v>1.2782889772238526</v>
      </c>
      <c r="K138" s="337">
        <f t="shared" si="45"/>
        <v>6.512374815162951E-2</v>
      </c>
      <c r="L138" s="337">
        <f t="shared" si="45"/>
        <v>0.18203103558125858</v>
      </c>
      <c r="M138" s="337">
        <f t="shared" si="45"/>
        <v>2.801703925436894E-2</v>
      </c>
      <c r="N138" s="337">
        <f t="shared" si="45"/>
        <v>1.9662264971198783E-2</v>
      </c>
    </row>
    <row r="139" spans="1:16" s="40" customFormat="1">
      <c r="A139" s="241"/>
      <c r="B139" s="242" t="s">
        <v>123</v>
      </c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</row>
    <row r="140" spans="1:16" s="150" customFormat="1" ht="8.1" customHeight="1">
      <c r="A140" s="156"/>
      <c r="B140" s="157"/>
      <c r="C140" s="158"/>
      <c r="D140" s="158"/>
      <c r="E140" s="159"/>
      <c r="F140" s="158"/>
      <c r="G140" s="158"/>
      <c r="H140" s="158"/>
      <c r="I140" s="158"/>
      <c r="J140" s="158"/>
      <c r="K140" s="158"/>
      <c r="L140" s="158"/>
      <c r="M140" s="158"/>
      <c r="N140" s="160"/>
    </row>
    <row r="141" spans="1:16" s="40" customFormat="1" ht="13.5" customHeight="1">
      <c r="A141" s="250" t="s">
        <v>124</v>
      </c>
      <c r="B141" s="23"/>
      <c r="C141" s="161">
        <v>2</v>
      </c>
      <c r="D141" s="161">
        <v>3</v>
      </c>
      <c r="E141" s="161">
        <v>0</v>
      </c>
      <c r="F141" s="161">
        <v>2</v>
      </c>
      <c r="G141" s="161">
        <v>0</v>
      </c>
      <c r="H141" s="161">
        <v>0</v>
      </c>
      <c r="I141" s="161">
        <v>1</v>
      </c>
      <c r="J141" s="161">
        <v>1</v>
      </c>
      <c r="K141" s="161">
        <v>2</v>
      </c>
      <c r="L141" s="161">
        <v>1</v>
      </c>
      <c r="M141" s="161">
        <v>8</v>
      </c>
      <c r="N141" s="161">
        <v>4</v>
      </c>
      <c r="O141" s="71">
        <f>AVERAGE(C141:N141)</f>
        <v>2</v>
      </c>
      <c r="P141" s="71"/>
    </row>
    <row r="142" spans="1:16" s="151" customFormat="1" ht="8.1" customHeight="1">
      <c r="A142" s="162"/>
      <c r="B142" s="157"/>
      <c r="C142" s="157"/>
      <c r="D142" s="157"/>
      <c r="E142" s="157"/>
      <c r="F142" s="157"/>
      <c r="G142" s="157"/>
      <c r="H142" s="157"/>
      <c r="I142" s="157"/>
      <c r="J142" s="157"/>
      <c r="K142" s="157"/>
      <c r="L142" s="157"/>
      <c r="M142" s="157"/>
      <c r="N142" s="163"/>
    </row>
    <row r="143" spans="1:16">
      <c r="A143" s="251" t="s">
        <v>125</v>
      </c>
      <c r="B143" s="251"/>
      <c r="C143" s="303" t="s">
        <v>223</v>
      </c>
      <c r="D143" s="164">
        <v>9730</v>
      </c>
      <c r="E143" s="255" t="s">
        <v>223</v>
      </c>
      <c r="F143" s="302" t="s">
        <v>223</v>
      </c>
      <c r="G143" s="302" t="s">
        <v>223</v>
      </c>
      <c r="H143" s="164">
        <v>35605</v>
      </c>
      <c r="I143" s="164">
        <v>8444</v>
      </c>
      <c r="J143" s="164">
        <v>7357</v>
      </c>
      <c r="K143" s="164">
        <v>7572</v>
      </c>
      <c r="L143" s="164">
        <v>11905</v>
      </c>
      <c r="M143" s="164">
        <v>10899</v>
      </c>
      <c r="N143" s="164">
        <v>2777</v>
      </c>
      <c r="O143" s="34">
        <f>AVERAGE(C143:N143)</f>
        <v>11786.125</v>
      </c>
    </row>
    <row r="144" spans="1:16">
      <c r="A144" s="251" t="s">
        <v>126</v>
      </c>
      <c r="B144" s="251"/>
      <c r="C144" s="302" t="s">
        <v>223</v>
      </c>
      <c r="D144" s="164">
        <v>2535</v>
      </c>
      <c r="E144" s="255" t="s">
        <v>223</v>
      </c>
      <c r="F144" s="302" t="s">
        <v>223</v>
      </c>
      <c r="G144" s="302" t="s">
        <v>223</v>
      </c>
      <c r="H144" s="164">
        <v>42226</v>
      </c>
      <c r="I144" s="164">
        <v>2145</v>
      </c>
      <c r="J144" s="164">
        <v>6852</v>
      </c>
      <c r="K144" s="164">
        <v>2139</v>
      </c>
      <c r="L144" s="164">
        <v>559</v>
      </c>
      <c r="M144" s="164">
        <v>0</v>
      </c>
      <c r="N144" s="164">
        <v>333</v>
      </c>
      <c r="O144" s="34">
        <f>AVERAGE(C144:N144)</f>
        <v>7098.625</v>
      </c>
    </row>
    <row r="145" spans="1:15">
      <c r="A145" s="251" t="s">
        <v>127</v>
      </c>
      <c r="B145" s="251"/>
      <c r="C145" s="303" t="s">
        <v>223</v>
      </c>
      <c r="D145" s="164">
        <v>12265</v>
      </c>
      <c r="E145" s="255" t="s">
        <v>223</v>
      </c>
      <c r="F145" s="302" t="s">
        <v>223</v>
      </c>
      <c r="G145" s="302" t="s">
        <v>223</v>
      </c>
      <c r="H145" s="164">
        <v>77831</v>
      </c>
      <c r="I145" s="164">
        <v>10589</v>
      </c>
      <c r="J145" s="164">
        <v>14209</v>
      </c>
      <c r="K145" s="164">
        <v>9711</v>
      </c>
      <c r="L145" s="164">
        <v>12464</v>
      </c>
      <c r="M145" s="164">
        <v>10899</v>
      </c>
      <c r="N145" s="164">
        <v>3110</v>
      </c>
      <c r="O145" s="34">
        <f>AVERAGE(C145:N145)</f>
        <v>18884.75</v>
      </c>
    </row>
    <row r="146" spans="1:15">
      <c r="B146" s="48"/>
      <c r="C146" s="48"/>
      <c r="D146" s="48"/>
      <c r="E146" s="48"/>
      <c r="F146" s="48"/>
      <c r="G146" s="48"/>
      <c r="I146" s="48"/>
      <c r="N146" s="48"/>
    </row>
    <row r="147" spans="1:15">
      <c r="B147" s="48"/>
      <c r="C147" s="48"/>
      <c r="D147" s="48"/>
      <c r="E147" s="48"/>
      <c r="F147" s="48"/>
      <c r="G147" s="48"/>
      <c r="I147" s="48"/>
      <c r="N147" s="48"/>
    </row>
    <row r="148" spans="1:15">
      <c r="A148" s="192"/>
      <c r="B148" s="52"/>
      <c r="C148" s="48"/>
      <c r="D148" s="48"/>
      <c r="E148" s="48"/>
      <c r="F148" s="48"/>
      <c r="G148" s="48"/>
      <c r="I148" s="48"/>
      <c r="J148" s="10"/>
      <c r="K148" s="10"/>
      <c r="L148" s="10"/>
      <c r="M148" s="10"/>
    </row>
    <row r="149" spans="1:15">
      <c r="A149" s="192"/>
      <c r="B149" s="52"/>
      <c r="C149" s="48"/>
      <c r="D149" s="48"/>
      <c r="E149" s="48"/>
      <c r="F149" s="48"/>
      <c r="G149" s="48"/>
      <c r="I149" s="48"/>
      <c r="J149" s="10"/>
      <c r="K149" s="10"/>
      <c r="L149" s="10"/>
      <c r="M149" s="10"/>
    </row>
    <row r="155" spans="1:15">
      <c r="C155" s="10"/>
      <c r="J155" s="10"/>
      <c r="K155" s="10"/>
      <c r="L155" s="10"/>
      <c r="M155" s="10"/>
    </row>
    <row r="156" spans="1:15">
      <c r="C156" s="10"/>
      <c r="J156" s="10"/>
      <c r="K156" s="10"/>
      <c r="L156" s="10"/>
      <c r="M156" s="10"/>
    </row>
    <row r="157" spans="1:15">
      <c r="C157" s="10"/>
      <c r="J157" s="10"/>
      <c r="K157" s="10"/>
      <c r="L157" s="10"/>
      <c r="M157" s="10"/>
    </row>
    <row r="158" spans="1:15">
      <c r="C158" s="10"/>
      <c r="J158" s="10"/>
      <c r="K158" s="10"/>
      <c r="L158" s="10"/>
      <c r="M158" s="10"/>
    </row>
    <row r="159" spans="1:15">
      <c r="C159" s="10"/>
      <c r="J159" s="10"/>
      <c r="K159" s="10"/>
      <c r="L159" s="10"/>
      <c r="M159" s="10"/>
    </row>
    <row r="160" spans="1:15">
      <c r="C160" s="10"/>
      <c r="J160" s="10"/>
      <c r="K160" s="10"/>
      <c r="L160" s="10"/>
      <c r="M160" s="10"/>
    </row>
    <row r="161" spans="3:13">
      <c r="C161" s="10"/>
      <c r="J161" s="10"/>
      <c r="K161" s="10"/>
      <c r="L161" s="10"/>
      <c r="M161" s="10"/>
    </row>
    <row r="162" spans="3:13">
      <c r="C162" s="10"/>
      <c r="J162" s="10"/>
      <c r="K162" s="10"/>
      <c r="L162" s="10"/>
      <c r="M162" s="10"/>
    </row>
    <row r="163" spans="3:13">
      <c r="C163" s="10"/>
      <c r="J163" s="10"/>
      <c r="K163" s="10"/>
      <c r="L163" s="10"/>
      <c r="M163" s="10"/>
    </row>
    <row r="164" spans="3:13">
      <c r="C164" s="10"/>
      <c r="H164" s="10"/>
      <c r="J164" s="10"/>
      <c r="K164" s="10"/>
      <c r="L164" s="10"/>
      <c r="M164" s="10"/>
    </row>
    <row r="165" spans="3:13">
      <c r="C165" s="10"/>
      <c r="H165" s="10"/>
      <c r="J165" s="10"/>
      <c r="K165" s="10"/>
      <c r="L165" s="10"/>
      <c r="M165" s="10"/>
    </row>
    <row r="166" spans="3:13">
      <c r="C166" s="10"/>
      <c r="H166" s="10"/>
      <c r="J166" s="10"/>
      <c r="K166" s="10"/>
      <c r="L166" s="10"/>
      <c r="M166" s="10"/>
    </row>
    <row r="167" spans="3:13">
      <c r="C167" s="10"/>
      <c r="H167" s="10"/>
      <c r="J167" s="10"/>
      <c r="K167" s="10"/>
      <c r="L167" s="10"/>
      <c r="M167" s="10"/>
    </row>
    <row r="168" spans="3:13">
      <c r="C168" s="10"/>
      <c r="H168" s="10"/>
      <c r="J168" s="10"/>
      <c r="K168" s="10"/>
      <c r="L168" s="10"/>
      <c r="M168" s="10"/>
    </row>
    <row r="169" spans="3:13">
      <c r="C169" s="10"/>
      <c r="H169" s="10"/>
      <c r="J169" s="10"/>
      <c r="K169" s="10"/>
      <c r="L169" s="10"/>
      <c r="M169" s="10"/>
    </row>
    <row r="170" spans="3:13">
      <c r="C170" s="10"/>
      <c r="H170" s="10"/>
      <c r="J170" s="10"/>
      <c r="K170" s="10"/>
      <c r="L170" s="10"/>
      <c r="M170" s="10"/>
    </row>
    <row r="171" spans="3:13">
      <c r="C171" s="10"/>
      <c r="H171" s="10"/>
      <c r="J171" s="10"/>
      <c r="K171" s="10"/>
      <c r="L171" s="10"/>
      <c r="M171" s="10"/>
    </row>
    <row r="172" spans="3:13">
      <c r="C172" s="10"/>
      <c r="H172" s="10"/>
      <c r="J172" s="10"/>
      <c r="K172" s="10"/>
      <c r="L172" s="10"/>
      <c r="M172" s="10"/>
    </row>
    <row r="173" spans="3:13">
      <c r="C173" s="10"/>
      <c r="H173" s="10"/>
      <c r="J173" s="10"/>
      <c r="K173" s="10"/>
      <c r="L173" s="10"/>
      <c r="M173" s="10"/>
    </row>
    <row r="174" spans="3:13">
      <c r="C174" s="10"/>
      <c r="H174" s="10"/>
      <c r="J174" s="10"/>
      <c r="K174" s="10"/>
      <c r="L174" s="10"/>
      <c r="M174" s="10"/>
    </row>
    <row r="175" spans="3:13">
      <c r="C175" s="10"/>
      <c r="H175" s="10"/>
      <c r="J175" s="10"/>
      <c r="K175" s="10"/>
      <c r="L175" s="10"/>
      <c r="M175" s="10"/>
    </row>
    <row r="176" spans="3:13">
      <c r="C176" s="10"/>
      <c r="H176" s="10"/>
      <c r="J176" s="10"/>
      <c r="K176" s="10"/>
      <c r="L176" s="10"/>
      <c r="M176" s="10"/>
    </row>
    <row r="177" spans="3:13">
      <c r="C177" s="10"/>
      <c r="H177" s="10"/>
      <c r="J177" s="10"/>
      <c r="K177" s="10"/>
      <c r="L177" s="10"/>
      <c r="M177" s="10"/>
    </row>
    <row r="178" spans="3:13">
      <c r="C178" s="10"/>
      <c r="H178" s="10"/>
      <c r="J178" s="10"/>
      <c r="K178" s="10"/>
      <c r="L178" s="10"/>
      <c r="M178" s="10"/>
    </row>
    <row r="179" spans="3:13">
      <c r="C179" s="10"/>
      <c r="H179" s="10"/>
      <c r="J179" s="10"/>
      <c r="K179" s="10"/>
      <c r="L179" s="10"/>
      <c r="M179" s="10"/>
    </row>
    <row r="180" spans="3:13">
      <c r="C180" s="10"/>
      <c r="H180" s="10"/>
      <c r="J180" s="10"/>
      <c r="K180" s="10"/>
      <c r="L180" s="10"/>
      <c r="M180" s="10"/>
    </row>
    <row r="181" spans="3:13">
      <c r="C181" s="10"/>
      <c r="H181" s="10"/>
      <c r="J181" s="10"/>
      <c r="K181" s="10"/>
      <c r="L181" s="10"/>
      <c r="M181" s="10"/>
    </row>
    <row r="182" spans="3:13">
      <c r="C182" s="10"/>
      <c r="H182" s="10"/>
      <c r="J182" s="10"/>
      <c r="K182" s="10"/>
      <c r="L182" s="10"/>
      <c r="M182" s="10"/>
    </row>
    <row r="183" spans="3:13">
      <c r="C183" s="10"/>
      <c r="H183" s="10"/>
      <c r="J183" s="10"/>
      <c r="K183" s="10"/>
      <c r="L183" s="10"/>
      <c r="M183" s="10"/>
    </row>
    <row r="184" spans="3:13">
      <c r="C184" s="10"/>
      <c r="H184" s="10"/>
      <c r="J184" s="10"/>
      <c r="K184" s="10"/>
      <c r="L184" s="10"/>
      <c r="M184" s="10"/>
    </row>
    <row r="185" spans="3:13">
      <c r="C185" s="10"/>
      <c r="H185" s="10"/>
      <c r="J185" s="10"/>
      <c r="K185" s="10"/>
      <c r="L185" s="10"/>
      <c r="M185" s="10"/>
    </row>
    <row r="186" spans="3:13">
      <c r="C186" s="10"/>
      <c r="H186" s="10"/>
      <c r="J186" s="10"/>
      <c r="K186" s="10"/>
      <c r="L186" s="10"/>
      <c r="M186" s="10"/>
    </row>
    <row r="187" spans="3:13">
      <c r="C187" s="10"/>
      <c r="H187" s="10"/>
      <c r="J187" s="10"/>
      <c r="K187" s="10"/>
      <c r="L187" s="10"/>
      <c r="M187" s="10"/>
    </row>
    <row r="188" spans="3:13">
      <c r="C188" s="10"/>
      <c r="H188" s="10"/>
      <c r="J188" s="10"/>
      <c r="K188" s="10"/>
      <c r="L188" s="10"/>
      <c r="M188" s="10"/>
    </row>
    <row r="189" spans="3:13">
      <c r="C189" s="10"/>
      <c r="H189" s="10"/>
      <c r="J189" s="10"/>
      <c r="K189" s="10"/>
      <c r="L189" s="10"/>
      <c r="M189" s="10"/>
    </row>
    <row r="190" spans="3:13">
      <c r="C190" s="10"/>
      <c r="H190" s="10"/>
      <c r="J190" s="10"/>
      <c r="K190" s="10"/>
      <c r="L190" s="10"/>
      <c r="M190" s="10"/>
    </row>
    <row r="191" spans="3:13">
      <c r="C191" s="10"/>
      <c r="H191" s="10"/>
      <c r="J191" s="10"/>
      <c r="K191" s="10"/>
      <c r="L191" s="10"/>
      <c r="M191" s="10"/>
    </row>
    <row r="192" spans="3:13">
      <c r="C192" s="10"/>
      <c r="H192" s="10"/>
      <c r="J192" s="10"/>
      <c r="K192" s="10"/>
      <c r="L192" s="10"/>
      <c r="M192" s="10"/>
    </row>
    <row r="193" spans="3:13">
      <c r="C193" s="10"/>
      <c r="H193" s="10"/>
      <c r="J193" s="10"/>
      <c r="K193" s="10"/>
      <c r="L193" s="10"/>
      <c r="M193" s="10"/>
    </row>
    <row r="194" spans="3:13">
      <c r="C194" s="10"/>
      <c r="H194" s="10"/>
      <c r="J194" s="10"/>
      <c r="K194" s="10"/>
      <c r="L194" s="10"/>
      <c r="M194" s="10"/>
    </row>
    <row r="195" spans="3:13">
      <c r="C195" s="10"/>
      <c r="H195" s="10"/>
      <c r="J195" s="10"/>
      <c r="K195" s="10"/>
      <c r="L195" s="10"/>
      <c r="M195" s="10"/>
    </row>
    <row r="196" spans="3:13">
      <c r="C196" s="10"/>
      <c r="H196" s="10"/>
      <c r="J196" s="10"/>
      <c r="K196" s="10"/>
      <c r="L196" s="10"/>
      <c r="M196" s="10"/>
    </row>
    <row r="197" spans="3:13">
      <c r="C197" s="10"/>
      <c r="H197" s="10"/>
      <c r="J197" s="10"/>
      <c r="K197" s="10"/>
      <c r="L197" s="10"/>
      <c r="M197" s="10"/>
    </row>
    <row r="198" spans="3:13">
      <c r="C198" s="10"/>
      <c r="H198" s="10"/>
      <c r="J198" s="10"/>
      <c r="K198" s="10"/>
      <c r="L198" s="10"/>
      <c r="M198" s="10"/>
    </row>
    <row r="199" spans="3:13">
      <c r="C199" s="10"/>
      <c r="H199" s="10"/>
      <c r="J199" s="10"/>
      <c r="K199" s="10"/>
      <c r="L199" s="10"/>
      <c r="M199" s="10"/>
    </row>
    <row r="200" spans="3:13">
      <c r="C200" s="10"/>
      <c r="H200" s="10"/>
      <c r="J200" s="10"/>
      <c r="K200" s="10"/>
      <c r="L200" s="10"/>
      <c r="M200" s="10"/>
    </row>
    <row r="201" spans="3:13">
      <c r="C201" s="10"/>
      <c r="H201" s="10"/>
      <c r="J201" s="10"/>
      <c r="K201" s="10"/>
      <c r="L201" s="10"/>
      <c r="M201" s="10"/>
    </row>
    <row r="202" spans="3:13">
      <c r="C202" s="10"/>
      <c r="H202" s="10"/>
      <c r="J202" s="10"/>
      <c r="K202" s="10"/>
      <c r="L202" s="10"/>
      <c r="M202" s="10"/>
    </row>
    <row r="203" spans="3:13">
      <c r="C203" s="10"/>
      <c r="H203" s="10"/>
      <c r="J203" s="10"/>
      <c r="K203" s="10"/>
      <c r="L203" s="10"/>
      <c r="M203" s="10"/>
    </row>
    <row r="204" spans="3:13">
      <c r="C204" s="10"/>
      <c r="H204" s="10"/>
      <c r="J204" s="10"/>
      <c r="K204" s="10"/>
      <c r="L204" s="10"/>
      <c r="M204" s="10"/>
    </row>
    <row r="205" spans="3:13">
      <c r="C205" s="10"/>
      <c r="H205" s="10"/>
      <c r="J205" s="10"/>
      <c r="K205" s="10"/>
      <c r="L205" s="10"/>
      <c r="M205" s="10"/>
    </row>
    <row r="206" spans="3:13">
      <c r="C206" s="10"/>
      <c r="H206" s="10"/>
      <c r="J206" s="10"/>
      <c r="K206" s="10"/>
      <c r="L206" s="10"/>
      <c r="M206" s="10"/>
    </row>
    <row r="207" spans="3:13">
      <c r="C207" s="10"/>
      <c r="H207" s="10"/>
      <c r="J207" s="10"/>
      <c r="K207" s="10"/>
      <c r="L207" s="10"/>
      <c r="M207" s="10"/>
    </row>
    <row r="208" spans="3:13">
      <c r="C208" s="10"/>
      <c r="H208" s="10"/>
      <c r="J208" s="10"/>
      <c r="K208" s="10"/>
      <c r="L208" s="10"/>
      <c r="M208" s="10"/>
    </row>
    <row r="209" spans="3:13">
      <c r="C209" s="10"/>
      <c r="H209" s="10"/>
      <c r="J209" s="10"/>
      <c r="K209" s="10"/>
      <c r="L209" s="10"/>
      <c r="M209" s="10"/>
    </row>
    <row r="210" spans="3:13">
      <c r="C210" s="10"/>
      <c r="H210" s="10"/>
      <c r="J210" s="10"/>
      <c r="K210" s="10"/>
      <c r="L210" s="10"/>
      <c r="M210" s="10"/>
    </row>
    <row r="211" spans="3:13">
      <c r="C211" s="10"/>
      <c r="H211" s="10"/>
      <c r="J211" s="10"/>
      <c r="K211" s="10"/>
      <c r="L211" s="10"/>
      <c r="M211" s="10"/>
    </row>
    <row r="212" spans="3:13">
      <c r="C212" s="10"/>
      <c r="H212" s="10"/>
      <c r="J212" s="10"/>
      <c r="K212" s="10"/>
      <c r="L212" s="10"/>
      <c r="M212" s="10"/>
    </row>
    <row r="213" spans="3:13">
      <c r="C213" s="10"/>
      <c r="H213" s="10"/>
      <c r="J213" s="10"/>
      <c r="K213" s="10"/>
      <c r="L213" s="10"/>
      <c r="M213" s="10"/>
    </row>
    <row r="214" spans="3:13">
      <c r="C214" s="10"/>
      <c r="H214" s="10"/>
      <c r="J214" s="10"/>
      <c r="K214" s="10"/>
      <c r="L214" s="10"/>
      <c r="M214" s="10"/>
    </row>
    <row r="215" spans="3:13">
      <c r="C215" s="10"/>
      <c r="H215" s="10"/>
      <c r="J215" s="10"/>
      <c r="K215" s="10"/>
      <c r="L215" s="10"/>
      <c r="M215" s="10"/>
    </row>
    <row r="216" spans="3:13">
      <c r="C216" s="10"/>
      <c r="H216" s="10"/>
      <c r="J216" s="10"/>
      <c r="K216" s="10"/>
      <c r="L216" s="10"/>
      <c r="M216" s="10"/>
    </row>
    <row r="217" spans="3:13">
      <c r="C217" s="10"/>
      <c r="H217" s="10"/>
      <c r="J217" s="10"/>
      <c r="K217" s="10"/>
      <c r="L217" s="10"/>
      <c r="M217" s="10"/>
    </row>
    <row r="218" spans="3:13">
      <c r="C218" s="10"/>
      <c r="H218" s="10"/>
      <c r="J218" s="10"/>
      <c r="K218" s="10"/>
      <c r="L218" s="10"/>
      <c r="M218" s="10"/>
    </row>
    <row r="219" spans="3:13">
      <c r="C219" s="10"/>
      <c r="H219" s="10"/>
      <c r="J219" s="10"/>
      <c r="K219" s="10"/>
      <c r="L219" s="10"/>
      <c r="M219" s="10"/>
    </row>
    <row r="220" spans="3:13">
      <c r="C220" s="10"/>
      <c r="H220" s="10"/>
      <c r="J220" s="10"/>
      <c r="K220" s="10"/>
      <c r="L220" s="10"/>
      <c r="M220" s="10"/>
    </row>
    <row r="221" spans="3:13">
      <c r="C221" s="10"/>
      <c r="H221" s="10"/>
      <c r="J221" s="10"/>
      <c r="K221" s="10"/>
      <c r="L221" s="10"/>
      <c r="M221" s="10"/>
    </row>
    <row r="222" spans="3:13">
      <c r="C222" s="10"/>
      <c r="H222" s="10"/>
      <c r="J222" s="10"/>
      <c r="K222" s="10"/>
      <c r="L222" s="10"/>
      <c r="M222" s="10"/>
    </row>
    <row r="223" spans="3:13">
      <c r="C223" s="10"/>
      <c r="H223" s="10"/>
      <c r="J223" s="10"/>
      <c r="K223" s="10"/>
      <c r="L223" s="10"/>
      <c r="M223" s="10"/>
    </row>
    <row r="224" spans="3:13">
      <c r="C224" s="10"/>
      <c r="H224" s="10"/>
      <c r="J224" s="10"/>
      <c r="K224" s="10"/>
      <c r="L224" s="10"/>
      <c r="M224" s="10"/>
    </row>
    <row r="225" spans="3:13">
      <c r="C225" s="10"/>
      <c r="H225" s="10"/>
      <c r="J225" s="10"/>
      <c r="K225" s="10"/>
      <c r="L225" s="10"/>
      <c r="M225" s="10"/>
    </row>
    <row r="226" spans="3:13">
      <c r="C226" s="10"/>
      <c r="H226" s="10"/>
      <c r="J226" s="10"/>
      <c r="K226" s="10"/>
      <c r="L226" s="10"/>
      <c r="M226" s="10"/>
    </row>
    <row r="227" spans="3:13">
      <c r="C227" s="10"/>
      <c r="H227" s="10"/>
      <c r="J227" s="10"/>
      <c r="K227" s="10"/>
      <c r="L227" s="10"/>
      <c r="M227" s="10"/>
    </row>
    <row r="228" spans="3:13">
      <c r="C228" s="10"/>
      <c r="H228" s="10"/>
      <c r="J228" s="10"/>
      <c r="K228" s="10"/>
      <c r="L228" s="10"/>
      <c r="M228" s="10"/>
    </row>
    <row r="229" spans="3:13">
      <c r="C229" s="10"/>
      <c r="H229" s="10"/>
      <c r="J229" s="10"/>
      <c r="K229" s="10"/>
      <c r="L229" s="10"/>
      <c r="M229" s="10"/>
    </row>
    <row r="230" spans="3:13">
      <c r="C230" s="10"/>
      <c r="H230" s="10"/>
      <c r="J230" s="10"/>
      <c r="K230" s="10"/>
      <c r="L230" s="10"/>
      <c r="M230" s="10"/>
    </row>
    <row r="231" spans="3:13">
      <c r="C231" s="10"/>
      <c r="H231" s="10"/>
      <c r="J231" s="10"/>
      <c r="K231" s="10"/>
      <c r="L231" s="10"/>
      <c r="M231" s="10"/>
    </row>
    <row r="232" spans="3:13">
      <c r="C232" s="10"/>
      <c r="H232" s="10"/>
      <c r="J232" s="10"/>
      <c r="K232" s="10"/>
      <c r="L232" s="10"/>
      <c r="M232" s="10"/>
    </row>
    <row r="233" spans="3:13">
      <c r="C233" s="10"/>
      <c r="H233" s="10"/>
      <c r="J233" s="10"/>
      <c r="K233" s="10"/>
      <c r="L233" s="10"/>
      <c r="M233" s="10"/>
    </row>
    <row r="234" spans="3:13">
      <c r="C234" s="10"/>
      <c r="H234" s="10"/>
      <c r="J234" s="10"/>
      <c r="K234" s="10"/>
      <c r="L234" s="10"/>
      <c r="M234" s="10"/>
    </row>
    <row r="235" spans="3:13">
      <c r="C235" s="10"/>
      <c r="H235" s="10"/>
      <c r="J235" s="10"/>
      <c r="K235" s="10"/>
      <c r="L235" s="10"/>
      <c r="M235" s="10"/>
    </row>
    <row r="236" spans="3:13">
      <c r="C236" s="10"/>
      <c r="H236" s="10"/>
      <c r="J236" s="10"/>
      <c r="K236" s="10"/>
      <c r="L236" s="10"/>
      <c r="M236" s="10"/>
    </row>
    <row r="237" spans="3:13">
      <c r="C237" s="10"/>
      <c r="H237" s="10"/>
      <c r="J237" s="10"/>
      <c r="K237" s="10"/>
      <c r="L237" s="10"/>
      <c r="M237" s="10"/>
    </row>
    <row r="238" spans="3:13">
      <c r="C238" s="10"/>
      <c r="H238" s="10"/>
      <c r="J238" s="10"/>
      <c r="K238" s="10"/>
      <c r="L238" s="10"/>
      <c r="M238" s="10"/>
    </row>
    <row r="239" spans="3:13">
      <c r="C239" s="10"/>
      <c r="H239" s="10"/>
      <c r="J239" s="10"/>
      <c r="K239" s="10"/>
      <c r="L239" s="10"/>
      <c r="M239" s="10"/>
    </row>
    <row r="240" spans="3:13">
      <c r="C240" s="10"/>
      <c r="H240" s="10"/>
      <c r="J240" s="10"/>
      <c r="K240" s="10"/>
      <c r="L240" s="10"/>
      <c r="M240" s="10"/>
    </row>
    <row r="241" spans="3:13">
      <c r="C241" s="10"/>
      <c r="H241" s="10"/>
      <c r="J241" s="10"/>
      <c r="K241" s="10"/>
      <c r="L241" s="10"/>
      <c r="M241" s="10"/>
    </row>
    <row r="242" spans="3:13">
      <c r="C242" s="10"/>
      <c r="H242" s="10"/>
      <c r="J242" s="10"/>
      <c r="K242" s="10"/>
      <c r="L242" s="10"/>
      <c r="M242" s="10"/>
    </row>
    <row r="243" spans="3:13">
      <c r="C243" s="10"/>
      <c r="H243" s="10"/>
      <c r="J243" s="10"/>
      <c r="K243" s="10"/>
      <c r="L243" s="10"/>
      <c r="M243" s="10"/>
    </row>
    <row r="244" spans="3:13">
      <c r="C244" s="10"/>
      <c r="H244" s="10"/>
      <c r="J244" s="10"/>
      <c r="K244" s="10"/>
      <c r="L244" s="10"/>
      <c r="M244" s="10"/>
    </row>
    <row r="245" spans="3:13">
      <c r="C245" s="10"/>
      <c r="H245" s="10"/>
      <c r="J245" s="10"/>
      <c r="K245" s="10"/>
      <c r="L245" s="10"/>
      <c r="M245" s="10"/>
    </row>
    <row r="246" spans="3:13">
      <c r="C246" s="10"/>
      <c r="H246" s="10"/>
      <c r="J246" s="10"/>
      <c r="K246" s="10"/>
      <c r="L246" s="10"/>
      <c r="M246" s="10"/>
    </row>
    <row r="247" spans="3:13">
      <c r="C247" s="10"/>
      <c r="H247" s="10"/>
      <c r="J247" s="10"/>
      <c r="K247" s="10"/>
      <c r="L247" s="10"/>
      <c r="M247" s="10"/>
    </row>
    <row r="248" spans="3:13">
      <c r="C248" s="10"/>
      <c r="H248" s="10"/>
      <c r="J248" s="10"/>
      <c r="K248" s="10"/>
      <c r="L248" s="10"/>
      <c r="M248" s="10"/>
    </row>
    <row r="249" spans="3:13">
      <c r="C249" s="10"/>
      <c r="H249" s="10"/>
      <c r="J249" s="10"/>
      <c r="K249" s="10"/>
      <c r="L249" s="10"/>
      <c r="M249" s="10"/>
    </row>
    <row r="250" spans="3:13">
      <c r="C250" s="10"/>
      <c r="H250" s="10"/>
      <c r="J250" s="10"/>
      <c r="K250" s="10"/>
      <c r="L250" s="10"/>
      <c r="M250" s="10"/>
    </row>
    <row r="251" spans="3:13">
      <c r="C251" s="10"/>
      <c r="H251" s="10"/>
      <c r="J251" s="10"/>
      <c r="K251" s="10"/>
      <c r="L251" s="10"/>
      <c r="M251" s="10"/>
    </row>
    <row r="252" spans="3:13">
      <c r="C252" s="10"/>
      <c r="H252" s="10"/>
      <c r="J252" s="10"/>
      <c r="K252" s="10"/>
      <c r="L252" s="10"/>
      <c r="M252" s="10"/>
    </row>
    <row r="253" spans="3:13">
      <c r="C253" s="10"/>
      <c r="H253" s="10"/>
      <c r="J253" s="10"/>
      <c r="K253" s="10"/>
      <c r="L253" s="10"/>
      <c r="M253" s="10"/>
    </row>
    <row r="254" spans="3:13">
      <c r="C254" s="10"/>
      <c r="H254" s="10"/>
      <c r="J254" s="10"/>
      <c r="K254" s="10"/>
      <c r="L254" s="10"/>
      <c r="M254" s="10"/>
    </row>
    <row r="255" spans="3:13">
      <c r="C255" s="10"/>
      <c r="H255" s="10"/>
      <c r="J255" s="10"/>
      <c r="K255" s="10"/>
      <c r="L255" s="10"/>
      <c r="M255" s="10"/>
    </row>
    <row r="256" spans="3:13">
      <c r="C256" s="10"/>
      <c r="H256" s="10"/>
      <c r="J256" s="10"/>
      <c r="K256" s="10"/>
      <c r="L256" s="10"/>
      <c r="M256" s="10"/>
    </row>
    <row r="257" spans="3:13">
      <c r="C257" s="10"/>
      <c r="H257" s="10"/>
      <c r="J257" s="10"/>
      <c r="K257" s="10"/>
      <c r="L257" s="10"/>
      <c r="M257" s="10"/>
    </row>
    <row r="258" spans="3:13">
      <c r="C258" s="10"/>
      <c r="H258" s="10"/>
      <c r="J258" s="10"/>
      <c r="K258" s="10"/>
      <c r="L258" s="10"/>
      <c r="M258" s="10"/>
    </row>
    <row r="259" spans="3:13">
      <c r="C259" s="10"/>
      <c r="H259" s="10"/>
      <c r="J259" s="10"/>
      <c r="K259" s="10"/>
      <c r="L259" s="10"/>
      <c r="M259" s="10"/>
    </row>
    <row r="260" spans="3:13">
      <c r="C260" s="10"/>
      <c r="H260" s="10"/>
      <c r="J260" s="10"/>
      <c r="K260" s="10"/>
      <c r="L260" s="10"/>
      <c r="M260" s="10"/>
    </row>
    <row r="261" spans="3:13">
      <c r="C261" s="10"/>
      <c r="H261" s="10"/>
      <c r="J261" s="10"/>
      <c r="K261" s="10"/>
      <c r="L261" s="10"/>
      <c r="M261" s="10"/>
    </row>
    <row r="262" spans="3:13">
      <c r="C262" s="10"/>
      <c r="H262" s="10"/>
      <c r="J262" s="10"/>
      <c r="K262" s="10"/>
      <c r="L262" s="10"/>
      <c r="M262" s="10"/>
    </row>
    <row r="263" spans="3:13">
      <c r="C263" s="10"/>
      <c r="H263" s="10"/>
      <c r="J263" s="10"/>
      <c r="K263" s="10"/>
      <c r="L263" s="10"/>
      <c r="M263" s="10"/>
    </row>
    <row r="264" spans="3:13">
      <c r="C264" s="10"/>
      <c r="H264" s="10"/>
      <c r="J264" s="10"/>
      <c r="K264" s="10"/>
      <c r="L264" s="10"/>
      <c r="M264" s="10"/>
    </row>
    <row r="265" spans="3:13">
      <c r="C265" s="10"/>
      <c r="H265" s="10"/>
      <c r="J265" s="10"/>
      <c r="K265" s="10"/>
      <c r="L265" s="10"/>
      <c r="M265" s="10"/>
    </row>
    <row r="266" spans="3:13">
      <c r="C266" s="10"/>
      <c r="H266" s="10"/>
      <c r="J266" s="10"/>
      <c r="K266" s="10"/>
      <c r="L266" s="10"/>
      <c r="M266" s="10"/>
    </row>
    <row r="267" spans="3:13">
      <c r="C267" s="10"/>
      <c r="H267" s="10"/>
      <c r="J267" s="10"/>
      <c r="K267" s="10"/>
      <c r="L267" s="10"/>
      <c r="M267" s="10"/>
    </row>
    <row r="268" spans="3:13">
      <c r="C268" s="10"/>
      <c r="H268" s="10"/>
      <c r="J268" s="10"/>
      <c r="K268" s="10"/>
      <c r="L268" s="10"/>
      <c r="M268" s="10"/>
    </row>
    <row r="269" spans="3:13">
      <c r="C269" s="10"/>
      <c r="H269" s="10"/>
      <c r="J269" s="10"/>
      <c r="K269" s="10"/>
      <c r="L269" s="10"/>
      <c r="M269" s="10"/>
    </row>
    <row r="270" spans="3:13">
      <c r="C270" s="10"/>
      <c r="H270" s="10"/>
      <c r="J270" s="10"/>
      <c r="K270" s="10"/>
      <c r="L270" s="10"/>
      <c r="M270" s="10"/>
    </row>
    <row r="271" spans="3:13">
      <c r="C271" s="10"/>
      <c r="H271" s="10"/>
      <c r="J271" s="10"/>
      <c r="K271" s="10"/>
      <c r="L271" s="10"/>
      <c r="M271" s="10"/>
    </row>
    <row r="272" spans="3:13">
      <c r="C272" s="10"/>
      <c r="H272" s="10"/>
      <c r="J272" s="10"/>
      <c r="K272" s="10"/>
      <c r="L272" s="10"/>
      <c r="M272" s="10"/>
    </row>
    <row r="273" spans="3:13">
      <c r="C273" s="10"/>
      <c r="H273" s="10"/>
      <c r="J273" s="10"/>
      <c r="K273" s="10"/>
      <c r="L273" s="10"/>
      <c r="M273" s="10"/>
    </row>
    <row r="274" spans="3:13">
      <c r="C274" s="10"/>
      <c r="H274" s="10"/>
      <c r="J274" s="10"/>
      <c r="K274" s="10"/>
      <c r="L274" s="10"/>
      <c r="M274" s="10"/>
    </row>
    <row r="275" spans="3:13">
      <c r="C275" s="10"/>
      <c r="H275" s="10"/>
      <c r="J275" s="10"/>
      <c r="K275" s="10"/>
      <c r="L275" s="10"/>
      <c r="M275" s="10"/>
    </row>
    <row r="276" spans="3:13">
      <c r="C276" s="10"/>
      <c r="H276" s="10"/>
      <c r="J276" s="10"/>
      <c r="K276" s="10"/>
      <c r="L276" s="10"/>
      <c r="M276" s="10"/>
    </row>
    <row r="277" spans="3:13">
      <c r="C277" s="10"/>
      <c r="H277" s="10"/>
      <c r="J277" s="10"/>
      <c r="K277" s="10"/>
      <c r="L277" s="10"/>
      <c r="M277" s="10"/>
    </row>
    <row r="278" spans="3:13">
      <c r="C278" s="10"/>
      <c r="H278" s="10"/>
      <c r="J278" s="10"/>
      <c r="K278" s="10"/>
      <c r="L278" s="10"/>
      <c r="M278" s="10"/>
    </row>
    <row r="279" spans="3:13">
      <c r="C279" s="10"/>
      <c r="H279" s="10"/>
      <c r="J279" s="10"/>
      <c r="K279" s="10"/>
      <c r="L279" s="10"/>
      <c r="M279" s="10"/>
    </row>
    <row r="280" spans="3:13">
      <c r="C280" s="10"/>
      <c r="H280" s="10"/>
      <c r="J280" s="10"/>
      <c r="K280" s="10"/>
      <c r="L280" s="10"/>
      <c r="M280" s="10"/>
    </row>
    <row r="281" spans="3:13">
      <c r="C281" s="10"/>
      <c r="H281" s="10"/>
      <c r="J281" s="10"/>
      <c r="K281" s="10"/>
      <c r="L281" s="10"/>
      <c r="M281" s="10"/>
    </row>
    <row r="282" spans="3:13">
      <c r="C282" s="10"/>
      <c r="H282" s="10"/>
      <c r="J282" s="10"/>
      <c r="K282" s="10"/>
      <c r="L282" s="10"/>
      <c r="M282" s="10"/>
    </row>
    <row r="283" spans="3:13">
      <c r="C283" s="10"/>
      <c r="H283" s="10"/>
      <c r="J283" s="10"/>
      <c r="K283" s="10"/>
      <c r="L283" s="10"/>
      <c r="M283" s="10"/>
    </row>
    <row r="284" spans="3:13">
      <c r="C284" s="10"/>
      <c r="H284" s="10"/>
      <c r="J284" s="10"/>
      <c r="K284" s="10"/>
      <c r="L284" s="10"/>
      <c r="M284" s="10"/>
    </row>
    <row r="285" spans="3:13">
      <c r="C285" s="10"/>
      <c r="H285" s="10"/>
      <c r="J285" s="10"/>
      <c r="K285" s="10"/>
      <c r="L285" s="10"/>
      <c r="M285" s="10"/>
    </row>
    <row r="286" spans="3:13">
      <c r="C286" s="10"/>
      <c r="H286" s="10"/>
      <c r="J286" s="10"/>
      <c r="K286" s="10"/>
      <c r="L286" s="10"/>
      <c r="M286" s="10"/>
    </row>
    <row r="287" spans="3:13">
      <c r="C287" s="10"/>
      <c r="H287" s="10"/>
      <c r="J287" s="10"/>
      <c r="K287" s="10"/>
      <c r="L287" s="10"/>
      <c r="M287" s="10"/>
    </row>
    <row r="288" spans="3:13">
      <c r="C288" s="10"/>
      <c r="H288" s="10"/>
      <c r="J288" s="10"/>
      <c r="K288" s="10"/>
      <c r="L288" s="10"/>
      <c r="M288" s="10"/>
    </row>
    <row r="289" spans="3:13">
      <c r="C289" s="10"/>
      <c r="H289" s="10"/>
      <c r="J289" s="10"/>
      <c r="K289" s="10"/>
      <c r="L289" s="10"/>
      <c r="M289" s="10"/>
    </row>
    <row r="290" spans="3:13">
      <c r="C290" s="10"/>
      <c r="H290" s="10"/>
      <c r="J290" s="10"/>
      <c r="K290" s="10"/>
      <c r="L290" s="10"/>
      <c r="M290" s="10"/>
    </row>
    <row r="291" spans="3:13">
      <c r="C291" s="10"/>
      <c r="H291" s="10"/>
      <c r="J291" s="10"/>
      <c r="K291" s="10"/>
      <c r="L291" s="10"/>
      <c r="M291" s="10"/>
    </row>
    <row r="292" spans="3:13">
      <c r="C292" s="10"/>
      <c r="H292" s="10"/>
      <c r="J292" s="10"/>
      <c r="K292" s="10"/>
      <c r="L292" s="10"/>
      <c r="M292" s="10"/>
    </row>
    <row r="293" spans="3:13">
      <c r="C293" s="10"/>
      <c r="H293" s="10"/>
      <c r="J293" s="10"/>
      <c r="K293" s="10"/>
      <c r="L293" s="10"/>
      <c r="M293" s="10"/>
    </row>
    <row r="294" spans="3:13">
      <c r="C294" s="10"/>
      <c r="H294" s="10"/>
      <c r="J294" s="10"/>
      <c r="K294" s="10"/>
      <c r="L294" s="10"/>
      <c r="M294" s="10"/>
    </row>
    <row r="295" spans="3:13">
      <c r="C295" s="10"/>
      <c r="H295" s="10"/>
      <c r="J295" s="10"/>
      <c r="K295" s="10"/>
      <c r="L295" s="10"/>
      <c r="M295" s="10"/>
    </row>
    <row r="296" spans="3:13">
      <c r="C296" s="10"/>
      <c r="H296" s="10"/>
      <c r="J296" s="10"/>
      <c r="K296" s="10"/>
      <c r="L296" s="10"/>
      <c r="M296" s="10"/>
    </row>
    <row r="297" spans="3:13">
      <c r="C297" s="10"/>
      <c r="H297" s="10"/>
      <c r="J297" s="10"/>
      <c r="K297" s="10"/>
      <c r="L297" s="10"/>
      <c r="M297" s="10"/>
    </row>
    <row r="298" spans="3:13">
      <c r="C298" s="10"/>
      <c r="H298" s="10"/>
      <c r="J298" s="10"/>
      <c r="K298" s="10"/>
      <c r="L298" s="10"/>
      <c r="M298" s="10"/>
    </row>
    <row r="299" spans="3:13">
      <c r="C299" s="10"/>
      <c r="H299" s="10"/>
      <c r="J299" s="10"/>
      <c r="K299" s="10"/>
      <c r="L299" s="10"/>
      <c r="M299" s="10"/>
    </row>
    <row r="300" spans="3:13">
      <c r="C300" s="10"/>
      <c r="H300" s="10"/>
      <c r="J300" s="10"/>
      <c r="K300" s="10"/>
      <c r="L300" s="10"/>
      <c r="M300" s="10"/>
    </row>
    <row r="301" spans="3:13">
      <c r="C301" s="10"/>
      <c r="H301" s="10"/>
      <c r="J301" s="10"/>
      <c r="K301" s="10"/>
      <c r="L301" s="10"/>
      <c r="M301" s="10"/>
    </row>
    <row r="302" spans="3:13">
      <c r="C302" s="10"/>
      <c r="H302" s="10"/>
      <c r="J302" s="10"/>
      <c r="K302" s="10"/>
      <c r="L302" s="10"/>
      <c r="M302" s="10"/>
    </row>
    <row r="303" spans="3:13">
      <c r="C303" s="10"/>
      <c r="H303" s="10"/>
      <c r="J303" s="10"/>
      <c r="K303" s="10"/>
      <c r="L303" s="10"/>
      <c r="M303" s="10"/>
    </row>
    <row r="304" spans="3:13">
      <c r="C304" s="10"/>
      <c r="H304" s="10"/>
      <c r="J304" s="10"/>
      <c r="K304" s="10"/>
      <c r="L304" s="10"/>
      <c r="M304" s="10"/>
    </row>
    <row r="305" spans="3:13">
      <c r="C305" s="10"/>
      <c r="H305" s="10"/>
      <c r="J305" s="10"/>
      <c r="K305" s="10"/>
      <c r="L305" s="10"/>
      <c r="M305" s="10"/>
    </row>
    <row r="306" spans="3:13">
      <c r="C306" s="10"/>
      <c r="H306" s="10"/>
      <c r="J306" s="10"/>
      <c r="K306" s="10"/>
      <c r="L306" s="10"/>
      <c r="M306" s="10"/>
    </row>
    <row r="307" spans="3:13">
      <c r="C307" s="10"/>
      <c r="H307" s="10"/>
      <c r="J307" s="10"/>
      <c r="K307" s="10"/>
      <c r="L307" s="10"/>
      <c r="M307" s="10"/>
    </row>
    <row r="308" spans="3:13">
      <c r="C308" s="10"/>
      <c r="H308" s="10"/>
      <c r="J308" s="10"/>
      <c r="K308" s="10"/>
      <c r="L308" s="10"/>
      <c r="M308" s="10"/>
    </row>
    <row r="309" spans="3:13">
      <c r="C309" s="10"/>
      <c r="H309" s="10"/>
      <c r="J309" s="10"/>
      <c r="K309" s="10"/>
      <c r="L309" s="10"/>
      <c r="M309" s="10"/>
    </row>
    <row r="310" spans="3:13">
      <c r="C310" s="10"/>
      <c r="H310" s="10"/>
      <c r="J310" s="10"/>
      <c r="K310" s="10"/>
      <c r="L310" s="10"/>
      <c r="M310" s="10"/>
    </row>
    <row r="311" spans="3:13">
      <c r="C311" s="10"/>
      <c r="H311" s="10"/>
      <c r="J311" s="10"/>
      <c r="K311" s="10"/>
      <c r="L311" s="10"/>
      <c r="M311" s="10"/>
    </row>
    <row r="312" spans="3:13">
      <c r="C312" s="10"/>
      <c r="H312" s="10"/>
      <c r="J312" s="10"/>
      <c r="K312" s="10"/>
      <c r="L312" s="10"/>
      <c r="M312" s="10"/>
    </row>
    <row r="313" spans="3:13">
      <c r="C313" s="10"/>
      <c r="H313" s="10"/>
      <c r="J313" s="10"/>
      <c r="K313" s="10"/>
      <c r="L313" s="10"/>
      <c r="M313" s="10"/>
    </row>
    <row r="314" spans="3:13">
      <c r="C314" s="10"/>
      <c r="H314" s="10"/>
      <c r="J314" s="10"/>
      <c r="K314" s="10"/>
      <c r="L314" s="10"/>
      <c r="M314" s="10"/>
    </row>
    <row r="315" spans="3:13">
      <c r="C315" s="10"/>
      <c r="H315" s="10"/>
      <c r="J315" s="10"/>
      <c r="K315" s="10"/>
      <c r="L315" s="10"/>
      <c r="M315" s="10"/>
    </row>
    <row r="316" spans="3:13">
      <c r="C316" s="10"/>
      <c r="H316" s="10"/>
      <c r="J316" s="10"/>
      <c r="K316" s="10"/>
      <c r="L316" s="10"/>
      <c r="M316" s="10"/>
    </row>
    <row r="317" spans="3:13">
      <c r="C317" s="10"/>
      <c r="H317" s="10"/>
      <c r="J317" s="10"/>
      <c r="K317" s="10"/>
      <c r="L317" s="10"/>
      <c r="M317" s="10"/>
    </row>
    <row r="318" spans="3:13">
      <c r="C318" s="10"/>
      <c r="H318" s="10"/>
      <c r="J318" s="10"/>
      <c r="K318" s="10"/>
      <c r="L318" s="10"/>
      <c r="M318" s="10"/>
    </row>
    <row r="319" spans="3:13">
      <c r="C319" s="10"/>
      <c r="H319" s="10"/>
      <c r="J319" s="10"/>
      <c r="K319" s="10"/>
      <c r="L319" s="10"/>
      <c r="M319" s="10"/>
    </row>
    <row r="320" spans="3:13">
      <c r="C320" s="10"/>
      <c r="H320" s="10"/>
      <c r="J320" s="10"/>
      <c r="K320" s="10"/>
      <c r="L320" s="10"/>
      <c r="M320" s="10"/>
    </row>
    <row r="321" spans="3:13">
      <c r="C321" s="10"/>
      <c r="H321" s="10"/>
      <c r="J321" s="10"/>
      <c r="K321" s="10"/>
      <c r="L321" s="10"/>
      <c r="M321" s="10"/>
    </row>
    <row r="322" spans="3:13">
      <c r="C322" s="10"/>
      <c r="H322" s="10"/>
      <c r="J322" s="10"/>
      <c r="K322" s="10"/>
      <c r="L322" s="10"/>
      <c r="M322" s="10"/>
    </row>
    <row r="323" spans="3:13">
      <c r="C323" s="10"/>
      <c r="H323" s="10"/>
      <c r="J323" s="10"/>
      <c r="K323" s="10"/>
      <c r="L323" s="10"/>
      <c r="M323" s="10"/>
    </row>
    <row r="324" spans="3:13">
      <c r="C324" s="10"/>
      <c r="H324" s="10"/>
      <c r="J324" s="10"/>
      <c r="K324" s="10"/>
      <c r="L324" s="10"/>
      <c r="M324" s="10"/>
    </row>
    <row r="325" spans="3:13">
      <c r="C325" s="10"/>
      <c r="H325" s="10"/>
      <c r="J325" s="10"/>
      <c r="K325" s="10"/>
      <c r="L325" s="10"/>
      <c r="M325" s="10"/>
    </row>
    <row r="326" spans="3:13">
      <c r="C326" s="10"/>
      <c r="H326" s="10"/>
      <c r="J326" s="10"/>
      <c r="K326" s="10"/>
      <c r="L326" s="10"/>
      <c r="M326" s="10"/>
    </row>
    <row r="327" spans="3:13">
      <c r="C327" s="10"/>
      <c r="H327" s="10"/>
      <c r="J327" s="10"/>
      <c r="K327" s="10"/>
      <c r="L327" s="10"/>
      <c r="M327" s="10"/>
    </row>
    <row r="328" spans="3:13">
      <c r="C328" s="10"/>
      <c r="H328" s="10"/>
      <c r="J328" s="10"/>
      <c r="K328" s="10"/>
      <c r="L328" s="10"/>
      <c r="M328" s="10"/>
    </row>
    <row r="329" spans="3:13">
      <c r="C329" s="10"/>
      <c r="H329" s="10"/>
      <c r="J329" s="10"/>
      <c r="K329" s="10"/>
      <c r="L329" s="10"/>
      <c r="M329" s="10"/>
    </row>
    <row r="330" spans="3:13">
      <c r="C330" s="10"/>
      <c r="H330" s="10"/>
      <c r="J330" s="10"/>
      <c r="K330" s="10"/>
      <c r="L330" s="10"/>
      <c r="M330" s="10"/>
    </row>
    <row r="331" spans="3:13">
      <c r="C331" s="10"/>
      <c r="H331" s="10"/>
      <c r="J331" s="10"/>
      <c r="K331" s="10"/>
      <c r="L331" s="10"/>
      <c r="M331" s="10"/>
    </row>
    <row r="332" spans="3:13">
      <c r="C332" s="10"/>
      <c r="H332" s="10"/>
      <c r="J332" s="10"/>
      <c r="K332" s="10"/>
      <c r="L332" s="10"/>
      <c r="M332" s="10"/>
    </row>
    <row r="333" spans="3:13">
      <c r="C333" s="10"/>
      <c r="H333" s="10"/>
      <c r="J333" s="10"/>
      <c r="K333" s="10"/>
      <c r="L333" s="10"/>
      <c r="M333" s="10"/>
    </row>
    <row r="334" spans="3:13">
      <c r="C334" s="10"/>
      <c r="H334" s="10"/>
      <c r="J334" s="10"/>
      <c r="K334" s="10"/>
      <c r="L334" s="10"/>
      <c r="M334" s="10"/>
    </row>
    <row r="335" spans="3:13">
      <c r="C335" s="10"/>
      <c r="H335" s="10"/>
      <c r="J335" s="10"/>
      <c r="K335" s="10"/>
      <c r="L335" s="10"/>
      <c r="M335" s="10"/>
    </row>
    <row r="336" spans="3:13">
      <c r="C336" s="10"/>
      <c r="H336" s="10"/>
      <c r="J336" s="10"/>
      <c r="K336" s="10"/>
      <c r="L336" s="10"/>
      <c r="M336" s="10"/>
    </row>
    <row r="337" spans="3:13">
      <c r="C337" s="10"/>
      <c r="H337" s="10"/>
      <c r="J337" s="10"/>
      <c r="K337" s="10"/>
      <c r="L337" s="10"/>
      <c r="M337" s="10"/>
    </row>
    <row r="338" spans="3:13">
      <c r="C338" s="10"/>
      <c r="H338" s="10"/>
      <c r="J338" s="10"/>
      <c r="K338" s="10"/>
      <c r="L338" s="10"/>
      <c r="M338" s="10"/>
    </row>
    <row r="339" spans="3:13">
      <c r="C339" s="10"/>
      <c r="H339" s="10"/>
      <c r="J339" s="10"/>
      <c r="K339" s="10"/>
      <c r="L339" s="10"/>
      <c r="M339" s="10"/>
    </row>
    <row r="340" spans="3:13">
      <c r="C340" s="10"/>
      <c r="H340" s="10"/>
      <c r="J340" s="10"/>
      <c r="K340" s="10"/>
      <c r="L340" s="10"/>
      <c r="M340" s="10"/>
    </row>
    <row r="341" spans="3:13">
      <c r="C341" s="10"/>
      <c r="H341" s="10"/>
      <c r="J341" s="10"/>
      <c r="K341" s="10"/>
      <c r="L341" s="10"/>
      <c r="M341" s="10"/>
    </row>
    <row r="342" spans="3:13">
      <c r="C342" s="10"/>
      <c r="H342" s="10"/>
      <c r="J342" s="10"/>
      <c r="K342" s="10"/>
      <c r="L342" s="10"/>
      <c r="M342" s="10"/>
    </row>
    <row r="343" spans="3:13">
      <c r="C343" s="10"/>
      <c r="H343" s="10"/>
      <c r="J343" s="10"/>
      <c r="K343" s="10"/>
      <c r="L343" s="10"/>
      <c r="M343" s="10"/>
    </row>
    <row r="344" spans="3:13">
      <c r="C344" s="10"/>
      <c r="H344" s="10"/>
      <c r="J344" s="10"/>
      <c r="K344" s="10"/>
      <c r="L344" s="10"/>
      <c r="M344" s="10"/>
    </row>
    <row r="345" spans="3:13">
      <c r="C345" s="10"/>
      <c r="H345" s="10"/>
      <c r="J345" s="10"/>
      <c r="K345" s="10"/>
      <c r="L345" s="10"/>
      <c r="M345" s="10"/>
    </row>
    <row r="346" spans="3:13">
      <c r="C346" s="10"/>
      <c r="H346" s="10"/>
      <c r="J346" s="10"/>
      <c r="K346" s="10"/>
      <c r="L346" s="10"/>
      <c r="M346" s="10"/>
    </row>
    <row r="347" spans="3:13">
      <c r="C347" s="10"/>
      <c r="H347" s="10"/>
      <c r="J347" s="10"/>
      <c r="K347" s="10"/>
      <c r="L347" s="10"/>
      <c r="M347" s="10"/>
    </row>
    <row r="348" spans="3:13">
      <c r="C348" s="10"/>
      <c r="H348" s="10"/>
      <c r="J348" s="10"/>
      <c r="K348" s="10"/>
      <c r="L348" s="10"/>
      <c r="M348" s="10"/>
    </row>
    <row r="349" spans="3:13">
      <c r="C349" s="10"/>
      <c r="H349" s="10"/>
      <c r="J349" s="10"/>
      <c r="K349" s="10"/>
      <c r="L349" s="10"/>
      <c r="M349" s="10"/>
    </row>
    <row r="350" spans="3:13">
      <c r="C350" s="10"/>
      <c r="H350" s="10"/>
      <c r="J350" s="10"/>
      <c r="K350" s="10"/>
      <c r="L350" s="10"/>
      <c r="M350" s="10"/>
    </row>
    <row r="351" spans="3:13">
      <c r="C351" s="10"/>
      <c r="H351" s="10"/>
      <c r="J351" s="10"/>
      <c r="K351" s="10"/>
      <c r="L351" s="10"/>
      <c r="M351" s="10"/>
    </row>
    <row r="352" spans="3:13">
      <c r="C352" s="10"/>
      <c r="H352" s="10"/>
      <c r="J352" s="10"/>
      <c r="K352" s="10"/>
      <c r="L352" s="10"/>
      <c r="M352" s="10"/>
    </row>
    <row r="353" spans="3:13">
      <c r="C353" s="10"/>
      <c r="H353" s="10"/>
      <c r="J353" s="10"/>
      <c r="K353" s="10"/>
      <c r="L353" s="10"/>
      <c r="M353" s="10"/>
    </row>
    <row r="354" spans="3:13">
      <c r="C354" s="10"/>
      <c r="H354" s="10"/>
      <c r="J354" s="10"/>
      <c r="K354" s="10"/>
      <c r="L354" s="10"/>
      <c r="M354" s="10"/>
    </row>
    <row r="355" spans="3:13">
      <c r="C355" s="10"/>
      <c r="H355" s="10"/>
      <c r="J355" s="10"/>
      <c r="K355" s="10"/>
      <c r="L355" s="10"/>
      <c r="M355" s="10"/>
    </row>
    <row r="356" spans="3:13">
      <c r="C356" s="10"/>
      <c r="H356" s="10"/>
      <c r="J356" s="10"/>
      <c r="K356" s="10"/>
      <c r="L356" s="10"/>
      <c r="M356" s="10"/>
    </row>
    <row r="357" spans="3:13">
      <c r="C357" s="10"/>
      <c r="H357" s="10"/>
      <c r="J357" s="10"/>
      <c r="K357" s="10"/>
      <c r="L357" s="10"/>
      <c r="M357" s="10"/>
    </row>
    <row r="358" spans="3:13">
      <c r="C358" s="10"/>
      <c r="H358" s="10"/>
      <c r="J358" s="10"/>
      <c r="K358" s="10"/>
      <c r="L358" s="10"/>
      <c r="M358" s="10"/>
    </row>
    <row r="359" spans="3:13">
      <c r="C359" s="10"/>
      <c r="H359" s="10"/>
      <c r="J359" s="10"/>
      <c r="K359" s="10"/>
      <c r="L359" s="10"/>
      <c r="M359" s="10"/>
    </row>
    <row r="360" spans="3:13">
      <c r="C360" s="10"/>
      <c r="H360" s="10"/>
      <c r="J360" s="10"/>
      <c r="K360" s="10"/>
      <c r="L360" s="10"/>
      <c r="M360" s="10"/>
    </row>
    <row r="361" spans="3:13">
      <c r="C361" s="10"/>
      <c r="H361" s="10"/>
      <c r="J361" s="10"/>
      <c r="K361" s="10"/>
      <c r="L361" s="10"/>
      <c r="M361" s="10"/>
    </row>
    <row r="362" spans="3:13">
      <c r="C362" s="10"/>
      <c r="H362" s="10"/>
      <c r="J362" s="10"/>
      <c r="K362" s="10"/>
      <c r="L362" s="10"/>
      <c r="M362" s="10"/>
    </row>
    <row r="363" spans="3:13">
      <c r="C363" s="10"/>
      <c r="H363" s="10"/>
      <c r="J363" s="10"/>
      <c r="K363" s="10"/>
      <c r="L363" s="10"/>
      <c r="M363" s="10"/>
    </row>
    <row r="364" spans="3:13">
      <c r="C364" s="10"/>
      <c r="H364" s="10"/>
      <c r="J364" s="10"/>
      <c r="K364" s="10"/>
      <c r="L364" s="10"/>
      <c r="M364" s="10"/>
    </row>
    <row r="365" spans="3:13">
      <c r="C365" s="10"/>
      <c r="H365" s="10"/>
      <c r="J365" s="10"/>
      <c r="K365" s="10"/>
      <c r="L365" s="10"/>
      <c r="M365" s="10"/>
    </row>
    <row r="366" spans="3:13">
      <c r="C366" s="10"/>
      <c r="H366" s="10"/>
      <c r="J366" s="10"/>
      <c r="K366" s="10"/>
      <c r="L366" s="10"/>
      <c r="M366" s="10"/>
    </row>
    <row r="367" spans="3:13">
      <c r="C367" s="10"/>
      <c r="H367" s="10"/>
      <c r="J367" s="10"/>
      <c r="K367" s="10"/>
      <c r="L367" s="10"/>
      <c r="M367" s="10"/>
    </row>
    <row r="368" spans="3:13">
      <c r="C368" s="10"/>
      <c r="H368" s="10"/>
      <c r="J368" s="10"/>
      <c r="K368" s="10"/>
      <c r="L368" s="10"/>
      <c r="M368" s="10"/>
    </row>
    <row r="369" spans="3:13">
      <c r="C369" s="10"/>
      <c r="H369" s="10"/>
      <c r="J369" s="10"/>
      <c r="K369" s="10"/>
      <c r="L369" s="10"/>
      <c r="M369" s="10"/>
    </row>
    <row r="370" spans="3:13">
      <c r="C370" s="10"/>
      <c r="H370" s="10"/>
      <c r="J370" s="10"/>
      <c r="K370" s="10"/>
      <c r="L370" s="10"/>
      <c r="M370" s="10"/>
    </row>
    <row r="371" spans="3:13">
      <c r="C371" s="10"/>
      <c r="H371" s="10"/>
      <c r="J371" s="10"/>
      <c r="K371" s="10"/>
      <c r="L371" s="10"/>
      <c r="M371" s="10"/>
    </row>
    <row r="372" spans="3:13">
      <c r="C372" s="10"/>
      <c r="H372" s="10"/>
      <c r="J372" s="10"/>
      <c r="K372" s="10"/>
      <c r="L372" s="10"/>
      <c r="M372" s="10"/>
    </row>
    <row r="373" spans="3:13">
      <c r="C373" s="10"/>
      <c r="H373" s="10"/>
      <c r="J373" s="10"/>
      <c r="K373" s="10"/>
      <c r="L373" s="10"/>
      <c r="M373" s="10"/>
    </row>
    <row r="374" spans="3:13">
      <c r="C374" s="10"/>
      <c r="H374" s="10"/>
      <c r="J374" s="10"/>
      <c r="K374" s="10"/>
      <c r="L374" s="10"/>
      <c r="M374" s="10"/>
    </row>
    <row r="375" spans="3:13">
      <c r="C375" s="10"/>
      <c r="H375" s="10"/>
      <c r="J375" s="10"/>
      <c r="K375" s="10"/>
      <c r="L375" s="10"/>
      <c r="M375" s="10"/>
    </row>
    <row r="376" spans="3:13">
      <c r="C376" s="10"/>
      <c r="H376" s="10"/>
      <c r="J376" s="10"/>
      <c r="K376" s="10"/>
      <c r="L376" s="10"/>
      <c r="M376" s="10"/>
    </row>
    <row r="377" spans="3:13">
      <c r="C377" s="10"/>
      <c r="H377" s="10"/>
      <c r="J377" s="10"/>
      <c r="K377" s="10"/>
      <c r="L377" s="10"/>
      <c r="M377" s="10"/>
    </row>
    <row r="378" spans="3:13">
      <c r="C378" s="10"/>
      <c r="H378" s="10"/>
      <c r="J378" s="10"/>
      <c r="K378" s="10"/>
      <c r="L378" s="10"/>
      <c r="M378" s="10"/>
    </row>
    <row r="379" spans="3:13">
      <c r="C379" s="10"/>
      <c r="H379" s="10"/>
      <c r="J379" s="10"/>
      <c r="K379" s="10"/>
      <c r="L379" s="10"/>
      <c r="M379" s="10"/>
    </row>
    <row r="380" spans="3:13">
      <c r="C380" s="10"/>
      <c r="H380" s="10"/>
      <c r="J380" s="10"/>
      <c r="K380" s="10"/>
      <c r="L380" s="10"/>
      <c r="M380" s="10"/>
    </row>
    <row r="381" spans="3:13">
      <c r="C381" s="10"/>
      <c r="H381" s="10"/>
      <c r="J381" s="10"/>
      <c r="K381" s="10"/>
      <c r="L381" s="10"/>
      <c r="M381" s="10"/>
    </row>
    <row r="382" spans="3:13">
      <c r="C382" s="10"/>
      <c r="H382" s="10"/>
      <c r="J382" s="10"/>
      <c r="K382" s="10"/>
      <c r="L382" s="10"/>
      <c r="M382" s="10"/>
    </row>
    <row r="383" spans="3:13">
      <c r="C383" s="10"/>
      <c r="H383" s="10"/>
      <c r="J383" s="10"/>
      <c r="K383" s="10"/>
      <c r="L383" s="10"/>
      <c r="M383" s="10"/>
    </row>
    <row r="384" spans="3:13">
      <c r="C384" s="10"/>
      <c r="H384" s="10"/>
      <c r="J384" s="10"/>
      <c r="K384" s="10"/>
      <c r="L384" s="10"/>
      <c r="M384" s="10"/>
    </row>
    <row r="385" spans="3:13">
      <c r="C385" s="10"/>
      <c r="H385" s="10"/>
      <c r="J385" s="10"/>
      <c r="K385" s="10"/>
      <c r="L385" s="10"/>
      <c r="M385" s="10"/>
    </row>
    <row r="386" spans="3:13">
      <c r="C386" s="10"/>
      <c r="H386" s="10"/>
      <c r="J386" s="10"/>
      <c r="K386" s="10"/>
      <c r="L386" s="10"/>
      <c r="M386" s="10"/>
    </row>
    <row r="387" spans="3:13">
      <c r="C387" s="10"/>
      <c r="H387" s="10"/>
      <c r="J387" s="10"/>
      <c r="K387" s="10"/>
      <c r="L387" s="10"/>
      <c r="M387" s="10"/>
    </row>
    <row r="388" spans="3:13">
      <c r="C388" s="10"/>
      <c r="H388" s="10"/>
      <c r="J388" s="10"/>
      <c r="K388" s="10"/>
      <c r="L388" s="10"/>
      <c r="M388" s="10"/>
    </row>
    <row r="389" spans="3:13">
      <c r="C389" s="10"/>
      <c r="H389" s="10"/>
      <c r="J389" s="10"/>
      <c r="K389" s="10"/>
      <c r="L389" s="10"/>
      <c r="M389" s="10"/>
    </row>
    <row r="390" spans="3:13">
      <c r="C390" s="10"/>
      <c r="H390" s="10"/>
      <c r="J390" s="10"/>
      <c r="K390" s="10"/>
      <c r="L390" s="10"/>
      <c r="M390" s="10"/>
    </row>
    <row r="391" spans="3:13">
      <c r="C391" s="10"/>
      <c r="H391" s="10"/>
      <c r="J391" s="10"/>
      <c r="K391" s="10"/>
      <c r="L391" s="10"/>
      <c r="M391" s="10"/>
    </row>
    <row r="392" spans="3:13">
      <c r="C392" s="10"/>
      <c r="H392" s="10"/>
      <c r="J392" s="10"/>
      <c r="K392" s="10"/>
      <c r="L392" s="10"/>
      <c r="M392" s="10"/>
    </row>
    <row r="393" spans="3:13">
      <c r="C393" s="10"/>
      <c r="H393" s="10"/>
      <c r="J393" s="10"/>
      <c r="K393" s="10"/>
      <c r="L393" s="10"/>
      <c r="M393" s="10"/>
    </row>
    <row r="394" spans="3:13">
      <c r="C394" s="10"/>
      <c r="H394" s="10"/>
      <c r="J394" s="10"/>
      <c r="K394" s="10"/>
      <c r="L394" s="10"/>
      <c r="M394" s="10"/>
    </row>
    <row r="395" spans="3:13">
      <c r="C395" s="10"/>
      <c r="H395" s="10"/>
      <c r="J395" s="10"/>
      <c r="K395" s="10"/>
      <c r="L395" s="10"/>
      <c r="M395" s="10"/>
    </row>
    <row r="396" spans="3:13">
      <c r="C396" s="10"/>
      <c r="H396" s="10"/>
      <c r="J396" s="10"/>
      <c r="K396" s="10"/>
      <c r="L396" s="10"/>
      <c r="M396" s="10"/>
    </row>
    <row r="397" spans="3:13">
      <c r="C397" s="10"/>
      <c r="H397" s="10"/>
      <c r="J397" s="10"/>
      <c r="K397" s="10"/>
      <c r="L397" s="10"/>
      <c r="M397" s="10"/>
    </row>
    <row r="398" spans="3:13">
      <c r="C398" s="10"/>
      <c r="H398" s="10"/>
      <c r="J398" s="10"/>
      <c r="K398" s="10"/>
      <c r="L398" s="10"/>
      <c r="M398" s="10"/>
    </row>
    <row r="399" spans="3:13">
      <c r="C399" s="10"/>
      <c r="H399" s="10"/>
      <c r="J399" s="10"/>
      <c r="K399" s="10"/>
      <c r="L399" s="10"/>
      <c r="M399" s="10"/>
    </row>
    <row r="400" spans="3:13">
      <c r="C400" s="10"/>
      <c r="H400" s="10"/>
      <c r="J400" s="10"/>
      <c r="K400" s="10"/>
      <c r="L400" s="10"/>
      <c r="M400" s="10"/>
    </row>
    <row r="401" spans="3:13">
      <c r="C401" s="10"/>
      <c r="H401" s="10"/>
      <c r="J401" s="10"/>
      <c r="K401" s="10"/>
      <c r="L401" s="10"/>
      <c r="M401" s="10"/>
    </row>
    <row r="402" spans="3:13">
      <c r="C402" s="10"/>
      <c r="H402" s="10"/>
      <c r="J402" s="10"/>
      <c r="K402" s="10"/>
      <c r="L402" s="10"/>
      <c r="M402" s="10"/>
    </row>
    <row r="403" spans="3:13">
      <c r="C403" s="10"/>
      <c r="H403" s="10"/>
      <c r="J403" s="10"/>
      <c r="K403" s="10"/>
      <c r="L403" s="10"/>
      <c r="M403" s="10"/>
    </row>
    <row r="404" spans="3:13">
      <c r="C404" s="10"/>
      <c r="H404" s="10"/>
      <c r="J404" s="10"/>
      <c r="K404" s="10"/>
      <c r="L404" s="10"/>
      <c r="M404" s="10"/>
    </row>
    <row r="405" spans="3:13">
      <c r="C405" s="10"/>
      <c r="H405" s="10"/>
      <c r="J405" s="10"/>
      <c r="K405" s="10"/>
      <c r="L405" s="10"/>
      <c r="M405" s="10"/>
    </row>
    <row r="406" spans="3:13">
      <c r="C406" s="10"/>
      <c r="H406" s="10"/>
      <c r="J406" s="10"/>
      <c r="K406" s="10"/>
      <c r="L406" s="10"/>
      <c r="M406" s="10"/>
    </row>
    <row r="407" spans="3:13">
      <c r="C407" s="10"/>
      <c r="H407" s="10"/>
      <c r="J407" s="10"/>
      <c r="K407" s="10"/>
      <c r="L407" s="10"/>
      <c r="M407" s="10"/>
    </row>
    <row r="408" spans="3:13">
      <c r="C408" s="10"/>
      <c r="H408" s="10"/>
      <c r="J408" s="10"/>
      <c r="K408" s="10"/>
      <c r="L408" s="10"/>
      <c r="M408" s="10"/>
    </row>
    <row r="409" spans="3:13">
      <c r="C409" s="10"/>
      <c r="H409" s="10"/>
      <c r="J409" s="10"/>
      <c r="K409" s="10"/>
      <c r="L409" s="10"/>
      <c r="M409" s="10"/>
    </row>
    <row r="410" spans="3:13">
      <c r="C410" s="10"/>
      <c r="H410" s="10"/>
      <c r="J410" s="10"/>
      <c r="K410" s="10"/>
      <c r="L410" s="10"/>
      <c r="M410" s="10"/>
    </row>
    <row r="411" spans="3:13">
      <c r="C411" s="10"/>
      <c r="H411" s="10"/>
      <c r="J411" s="10"/>
      <c r="K411" s="10"/>
      <c r="L411" s="10"/>
      <c r="M411" s="10"/>
    </row>
    <row r="412" spans="3:13">
      <c r="C412" s="10"/>
      <c r="H412" s="10"/>
      <c r="J412" s="10"/>
      <c r="K412" s="10"/>
      <c r="L412" s="10"/>
      <c r="M412" s="10"/>
    </row>
    <row r="413" spans="3:13">
      <c r="C413" s="10"/>
      <c r="H413" s="10"/>
      <c r="J413" s="10"/>
      <c r="K413" s="10"/>
      <c r="L413" s="10"/>
      <c r="M413" s="10"/>
    </row>
    <row r="414" spans="3:13">
      <c r="C414" s="10"/>
      <c r="H414" s="10"/>
      <c r="J414" s="10"/>
      <c r="K414" s="10"/>
      <c r="L414" s="10"/>
      <c r="M414" s="10"/>
    </row>
    <row r="415" spans="3:13">
      <c r="C415" s="10"/>
      <c r="H415" s="10"/>
      <c r="J415" s="10"/>
      <c r="K415" s="10"/>
      <c r="L415" s="10"/>
      <c r="M415" s="10"/>
    </row>
    <row r="416" spans="3:13">
      <c r="C416" s="10"/>
      <c r="H416" s="10"/>
      <c r="J416" s="10"/>
      <c r="K416" s="10"/>
      <c r="L416" s="10"/>
      <c r="M416" s="10"/>
    </row>
    <row r="417" spans="3:13">
      <c r="C417" s="10"/>
      <c r="H417" s="10"/>
      <c r="J417" s="10"/>
      <c r="K417" s="10"/>
      <c r="L417" s="10"/>
      <c r="M417" s="10"/>
    </row>
    <row r="418" spans="3:13">
      <c r="C418" s="10"/>
      <c r="H418" s="10"/>
      <c r="J418" s="10"/>
      <c r="K418" s="10"/>
      <c r="L418" s="10"/>
      <c r="M418" s="10"/>
    </row>
    <row r="419" spans="3:13">
      <c r="C419" s="10"/>
      <c r="H419" s="10"/>
      <c r="J419" s="10"/>
      <c r="K419" s="10"/>
      <c r="L419" s="10"/>
      <c r="M419" s="10"/>
    </row>
    <row r="420" spans="3:13">
      <c r="C420" s="10"/>
      <c r="H420" s="10"/>
      <c r="J420" s="10"/>
      <c r="K420" s="10"/>
      <c r="L420" s="10"/>
      <c r="M420" s="10"/>
    </row>
    <row r="421" spans="3:13">
      <c r="C421" s="10"/>
      <c r="H421" s="10"/>
      <c r="J421" s="10"/>
      <c r="K421" s="10"/>
      <c r="L421" s="10"/>
      <c r="M421" s="10"/>
    </row>
    <row r="422" spans="3:13">
      <c r="C422" s="10"/>
      <c r="H422" s="10"/>
      <c r="J422" s="10"/>
      <c r="K422" s="10"/>
      <c r="L422" s="10"/>
      <c r="M422" s="10"/>
    </row>
    <row r="423" spans="3:13">
      <c r="C423" s="10"/>
      <c r="H423" s="10"/>
      <c r="J423" s="10"/>
      <c r="K423" s="10"/>
      <c r="L423" s="10"/>
      <c r="M423" s="10"/>
    </row>
    <row r="424" spans="3:13">
      <c r="C424" s="10"/>
      <c r="H424" s="10"/>
      <c r="J424" s="10"/>
      <c r="K424" s="10"/>
      <c r="L424" s="10"/>
      <c r="M424" s="10"/>
    </row>
    <row r="425" spans="3:13">
      <c r="C425" s="10"/>
      <c r="H425" s="10"/>
      <c r="J425" s="10"/>
      <c r="K425" s="10"/>
      <c r="L425" s="10"/>
      <c r="M425" s="10"/>
    </row>
    <row r="426" spans="3:13">
      <c r="C426" s="10"/>
      <c r="H426" s="10"/>
      <c r="J426" s="10"/>
      <c r="K426" s="10"/>
      <c r="L426" s="10"/>
      <c r="M426" s="10"/>
    </row>
    <row r="427" spans="3:13">
      <c r="C427" s="10"/>
      <c r="H427" s="10"/>
      <c r="J427" s="10"/>
      <c r="K427" s="10"/>
      <c r="L427" s="10"/>
      <c r="M427" s="10"/>
    </row>
    <row r="428" spans="3:13">
      <c r="C428" s="10"/>
      <c r="H428" s="10"/>
      <c r="J428" s="10"/>
      <c r="K428" s="10"/>
      <c r="L428" s="10"/>
      <c r="M428" s="10"/>
    </row>
    <row r="429" spans="3:13">
      <c r="C429" s="10"/>
      <c r="H429" s="10"/>
      <c r="J429" s="10"/>
      <c r="K429" s="10"/>
      <c r="L429" s="10"/>
      <c r="M429" s="10"/>
    </row>
    <row r="430" spans="3:13">
      <c r="C430" s="10"/>
      <c r="H430" s="10"/>
      <c r="J430" s="10"/>
      <c r="K430" s="10"/>
      <c r="L430" s="10"/>
      <c r="M430" s="10"/>
    </row>
    <row r="431" spans="3:13">
      <c r="C431" s="10"/>
      <c r="H431" s="10"/>
      <c r="J431" s="10"/>
      <c r="K431" s="10"/>
      <c r="L431" s="10"/>
      <c r="M431" s="10"/>
    </row>
    <row r="432" spans="3:13">
      <c r="C432" s="10"/>
      <c r="H432" s="10"/>
      <c r="J432" s="10"/>
      <c r="K432" s="10"/>
      <c r="L432" s="10"/>
      <c r="M432" s="10"/>
    </row>
    <row r="433" spans="3:13">
      <c r="C433" s="10"/>
      <c r="H433" s="10"/>
      <c r="J433" s="10"/>
      <c r="K433" s="10"/>
      <c r="L433" s="10"/>
      <c r="M433" s="10"/>
    </row>
    <row r="434" spans="3:13">
      <c r="C434" s="10"/>
      <c r="H434" s="10"/>
      <c r="J434" s="10"/>
      <c r="K434" s="10"/>
      <c r="L434" s="10"/>
      <c r="M434" s="10"/>
    </row>
    <row r="435" spans="3:13">
      <c r="C435" s="10"/>
      <c r="H435" s="10"/>
      <c r="J435" s="10"/>
      <c r="K435" s="10"/>
      <c r="L435" s="10"/>
      <c r="M435" s="10"/>
    </row>
    <row r="436" spans="3:13">
      <c r="C436" s="10"/>
      <c r="H436" s="10"/>
      <c r="J436" s="10"/>
      <c r="K436" s="10"/>
      <c r="L436" s="10"/>
      <c r="M436" s="10"/>
    </row>
    <row r="437" spans="3:13">
      <c r="C437" s="10"/>
      <c r="H437" s="10"/>
      <c r="J437" s="10"/>
      <c r="K437" s="10"/>
      <c r="L437" s="10"/>
      <c r="M437" s="10"/>
    </row>
    <row r="438" spans="3:13">
      <c r="C438" s="10"/>
      <c r="H438" s="10"/>
      <c r="J438" s="10"/>
      <c r="K438" s="10"/>
      <c r="L438" s="10"/>
      <c r="M438" s="10"/>
    </row>
    <row r="439" spans="3:13">
      <c r="C439" s="10"/>
      <c r="H439" s="10"/>
      <c r="J439" s="10"/>
      <c r="K439" s="10"/>
      <c r="L439" s="10"/>
      <c r="M439" s="10"/>
    </row>
    <row r="440" spans="3:13">
      <c r="C440" s="10"/>
      <c r="H440" s="10"/>
      <c r="J440" s="10"/>
      <c r="K440" s="10"/>
      <c r="L440" s="10"/>
      <c r="M440" s="10"/>
    </row>
    <row r="441" spans="3:13">
      <c r="C441" s="10"/>
      <c r="H441" s="10"/>
      <c r="J441" s="10"/>
      <c r="K441" s="10"/>
      <c r="L441" s="10"/>
      <c r="M441" s="10"/>
    </row>
    <row r="442" spans="3:13">
      <c r="C442" s="10"/>
      <c r="H442" s="10"/>
      <c r="J442" s="10"/>
      <c r="K442" s="10"/>
      <c r="L442" s="10"/>
      <c r="M442" s="10"/>
    </row>
    <row r="443" spans="3:13">
      <c r="C443" s="10"/>
      <c r="H443" s="10"/>
      <c r="J443" s="10"/>
      <c r="K443" s="10"/>
      <c r="L443" s="10"/>
      <c r="M443" s="10"/>
    </row>
    <row r="444" spans="3:13">
      <c r="C444" s="10"/>
      <c r="H444" s="10"/>
      <c r="J444" s="10"/>
      <c r="K444" s="10"/>
      <c r="L444" s="10"/>
      <c r="M444" s="10"/>
    </row>
    <row r="445" spans="3:13">
      <c r="C445" s="10"/>
      <c r="H445" s="10"/>
      <c r="J445" s="10"/>
      <c r="K445" s="10"/>
      <c r="L445" s="10"/>
      <c r="M445" s="10"/>
    </row>
    <row r="446" spans="3:13">
      <c r="C446" s="10"/>
      <c r="H446" s="10"/>
      <c r="J446" s="10"/>
      <c r="K446" s="10"/>
      <c r="L446" s="10"/>
      <c r="M446" s="10"/>
    </row>
    <row r="447" spans="3:13">
      <c r="C447" s="10"/>
      <c r="H447" s="10"/>
      <c r="J447" s="10"/>
      <c r="K447" s="10"/>
      <c r="L447" s="10"/>
      <c r="M447" s="10"/>
    </row>
    <row r="448" spans="3:13">
      <c r="C448" s="10"/>
      <c r="H448" s="10"/>
      <c r="J448" s="10"/>
      <c r="K448" s="10"/>
      <c r="L448" s="10"/>
      <c r="M448" s="10"/>
    </row>
    <row r="449" spans="3:13">
      <c r="C449" s="10"/>
      <c r="H449" s="10"/>
      <c r="J449" s="10"/>
      <c r="K449" s="10"/>
      <c r="L449" s="10"/>
      <c r="M449" s="10"/>
    </row>
    <row r="450" spans="3:13">
      <c r="C450" s="10"/>
      <c r="H450" s="10"/>
      <c r="J450" s="10"/>
      <c r="K450" s="10"/>
      <c r="L450" s="10"/>
      <c r="M450" s="10"/>
    </row>
    <row r="451" spans="3:13">
      <c r="C451" s="10"/>
      <c r="H451" s="10"/>
      <c r="J451" s="10"/>
      <c r="K451" s="10"/>
      <c r="L451" s="10"/>
      <c r="M451" s="10"/>
    </row>
    <row r="452" spans="3:13">
      <c r="C452" s="10"/>
      <c r="H452" s="10"/>
      <c r="J452" s="10"/>
      <c r="K452" s="10"/>
      <c r="L452" s="10"/>
      <c r="M452" s="10"/>
    </row>
    <row r="453" spans="3:13">
      <c r="C453" s="10"/>
      <c r="H453" s="10"/>
      <c r="J453" s="10"/>
      <c r="K453" s="10"/>
      <c r="L453" s="10"/>
      <c r="M453" s="10"/>
    </row>
    <row r="454" spans="3:13">
      <c r="C454" s="10"/>
      <c r="H454" s="10"/>
      <c r="J454" s="10"/>
      <c r="K454" s="10"/>
      <c r="L454" s="10"/>
      <c r="M454" s="10"/>
    </row>
    <row r="455" spans="3:13">
      <c r="C455" s="10"/>
      <c r="H455" s="10"/>
      <c r="J455" s="10"/>
      <c r="K455" s="10"/>
      <c r="L455" s="10"/>
      <c r="M455" s="10"/>
    </row>
    <row r="456" spans="3:13">
      <c r="C456" s="10"/>
      <c r="H456" s="10"/>
      <c r="J456" s="10"/>
      <c r="K456" s="10"/>
      <c r="L456" s="10"/>
      <c r="M456" s="10"/>
    </row>
    <row r="457" spans="3:13">
      <c r="C457" s="10"/>
      <c r="H457" s="10"/>
      <c r="J457" s="10"/>
      <c r="K457" s="10"/>
      <c r="L457" s="10"/>
      <c r="M457" s="10"/>
    </row>
    <row r="458" spans="3:13">
      <c r="C458" s="10"/>
      <c r="H458" s="10"/>
      <c r="J458" s="10"/>
      <c r="K458" s="10"/>
      <c r="L458" s="10"/>
      <c r="M458" s="10"/>
    </row>
    <row r="459" spans="3:13">
      <c r="C459" s="10"/>
      <c r="H459" s="10"/>
      <c r="J459" s="10"/>
      <c r="K459" s="10"/>
      <c r="L459" s="10"/>
      <c r="M459" s="10"/>
    </row>
    <row r="460" spans="3:13">
      <c r="C460" s="10"/>
      <c r="H460" s="10"/>
      <c r="J460" s="10"/>
      <c r="K460" s="10"/>
      <c r="L460" s="10"/>
      <c r="M460" s="10"/>
    </row>
    <row r="461" spans="3:13">
      <c r="C461" s="10"/>
      <c r="H461" s="10"/>
      <c r="J461" s="10"/>
      <c r="K461" s="10"/>
      <c r="L461" s="10"/>
      <c r="M461" s="10"/>
    </row>
    <row r="462" spans="3:13">
      <c r="C462" s="10"/>
      <c r="H462" s="10"/>
      <c r="J462" s="10"/>
      <c r="K462" s="10"/>
      <c r="L462" s="10"/>
      <c r="M462" s="10"/>
    </row>
    <row r="463" spans="3:13">
      <c r="C463" s="10"/>
      <c r="H463" s="10"/>
      <c r="J463" s="10"/>
      <c r="K463" s="10"/>
      <c r="L463" s="10"/>
      <c r="M463" s="10"/>
    </row>
    <row r="464" spans="3:13">
      <c r="C464" s="10"/>
      <c r="H464" s="10"/>
      <c r="J464" s="10"/>
      <c r="K464" s="10"/>
      <c r="L464" s="10"/>
      <c r="M464" s="10"/>
    </row>
    <row r="465" spans="3:13">
      <c r="C465" s="10"/>
      <c r="H465" s="10"/>
      <c r="J465" s="10"/>
      <c r="K465" s="10"/>
      <c r="L465" s="10"/>
      <c r="M465" s="10"/>
    </row>
    <row r="466" spans="3:13">
      <c r="C466" s="10"/>
      <c r="H466" s="10"/>
      <c r="J466" s="10"/>
      <c r="K466" s="10"/>
      <c r="L466" s="10"/>
      <c r="M466" s="10"/>
    </row>
    <row r="467" spans="3:13">
      <c r="C467" s="10"/>
      <c r="H467" s="10"/>
      <c r="J467" s="10"/>
      <c r="K467" s="10"/>
      <c r="L467" s="10"/>
      <c r="M467" s="10"/>
    </row>
    <row r="468" spans="3:13">
      <c r="C468" s="10"/>
      <c r="H468" s="10"/>
      <c r="J468" s="10"/>
      <c r="K468" s="10"/>
      <c r="L468" s="10"/>
      <c r="M468" s="10"/>
    </row>
    <row r="469" spans="3:13">
      <c r="C469" s="10"/>
      <c r="H469" s="10"/>
      <c r="J469" s="10"/>
      <c r="K469" s="10"/>
      <c r="L469" s="10"/>
      <c r="M469" s="10"/>
    </row>
    <row r="470" spans="3:13">
      <c r="C470" s="10"/>
      <c r="H470" s="10"/>
      <c r="J470" s="10"/>
      <c r="K470" s="10"/>
      <c r="L470" s="10"/>
      <c r="M470" s="10"/>
    </row>
    <row r="471" spans="3:13">
      <c r="C471" s="10"/>
      <c r="H471" s="10"/>
      <c r="J471" s="10"/>
      <c r="K471" s="10"/>
      <c r="L471" s="10"/>
      <c r="M471" s="10"/>
    </row>
    <row r="472" spans="3:13">
      <c r="C472" s="10"/>
      <c r="H472" s="10"/>
      <c r="J472" s="10"/>
      <c r="K472" s="10"/>
      <c r="L472" s="10"/>
      <c r="M472" s="10"/>
    </row>
    <row r="473" spans="3:13">
      <c r="C473" s="10"/>
      <c r="H473" s="10"/>
      <c r="J473" s="10"/>
      <c r="K473" s="10"/>
      <c r="L473" s="10"/>
      <c r="M473" s="10"/>
    </row>
    <row r="474" spans="3:13">
      <c r="C474" s="10"/>
      <c r="H474" s="10"/>
      <c r="J474" s="10"/>
      <c r="K474" s="10"/>
      <c r="L474" s="10"/>
      <c r="M474" s="10"/>
    </row>
    <row r="475" spans="3:13">
      <c r="C475" s="10"/>
      <c r="H475" s="10"/>
      <c r="J475" s="10"/>
      <c r="K475" s="10"/>
      <c r="L475" s="10"/>
      <c r="M475" s="10"/>
    </row>
    <row r="476" spans="3:13">
      <c r="C476" s="10"/>
      <c r="H476" s="10"/>
      <c r="J476" s="10"/>
      <c r="K476" s="10"/>
      <c r="L476" s="10"/>
      <c r="M476" s="10"/>
    </row>
    <row r="477" spans="3:13">
      <c r="C477" s="10"/>
      <c r="H477" s="10"/>
      <c r="J477" s="10"/>
      <c r="K477" s="10"/>
      <c r="L477" s="10"/>
      <c r="M477" s="10"/>
    </row>
    <row r="478" spans="3:13">
      <c r="C478" s="10"/>
      <c r="H478" s="10"/>
      <c r="J478" s="10"/>
      <c r="K478" s="10"/>
      <c r="L478" s="10"/>
      <c r="M478" s="10"/>
    </row>
    <row r="479" spans="3:13">
      <c r="C479" s="10"/>
      <c r="H479" s="10"/>
      <c r="J479" s="10"/>
      <c r="K479" s="10"/>
      <c r="L479" s="10"/>
      <c r="M479" s="10"/>
    </row>
    <row r="480" spans="3:13">
      <c r="C480" s="10"/>
      <c r="H480" s="10"/>
      <c r="J480" s="10"/>
      <c r="K480" s="10"/>
      <c r="L480" s="10"/>
      <c r="M480" s="10"/>
    </row>
    <row r="481" spans="3:13">
      <c r="C481" s="10"/>
      <c r="H481" s="10"/>
      <c r="J481" s="10"/>
      <c r="K481" s="10"/>
      <c r="L481" s="10"/>
      <c r="M481" s="10"/>
    </row>
    <row r="482" spans="3:13">
      <c r="C482" s="10"/>
      <c r="H482" s="10"/>
      <c r="J482" s="10"/>
      <c r="K482" s="10"/>
      <c r="L482" s="10"/>
      <c r="M482" s="10"/>
    </row>
    <row r="483" spans="3:13">
      <c r="C483" s="10"/>
      <c r="H483" s="10"/>
      <c r="J483" s="10"/>
      <c r="K483" s="10"/>
      <c r="L483" s="10"/>
      <c r="M483" s="10"/>
    </row>
    <row r="484" spans="3:13">
      <c r="C484" s="10"/>
      <c r="H484" s="10"/>
      <c r="J484" s="10"/>
      <c r="K484" s="10"/>
      <c r="L484" s="10"/>
      <c r="M484" s="10"/>
    </row>
    <row r="485" spans="3:13">
      <c r="C485" s="10"/>
      <c r="H485" s="10"/>
      <c r="J485" s="10"/>
      <c r="K485" s="10"/>
      <c r="L485" s="10"/>
      <c r="M485" s="10"/>
    </row>
    <row r="486" spans="3:13">
      <c r="C486" s="10"/>
      <c r="H486" s="10"/>
      <c r="J486" s="10"/>
      <c r="K486" s="10"/>
      <c r="L486" s="10"/>
      <c r="M486" s="10"/>
    </row>
    <row r="487" spans="3:13">
      <c r="C487" s="10"/>
      <c r="H487" s="10"/>
      <c r="J487" s="10"/>
      <c r="K487" s="10"/>
      <c r="L487" s="10"/>
      <c r="M487" s="10"/>
    </row>
    <row r="488" spans="3:13">
      <c r="C488" s="10"/>
      <c r="H488" s="10"/>
      <c r="J488" s="10"/>
      <c r="K488" s="10"/>
      <c r="L488" s="10"/>
      <c r="M488" s="10"/>
    </row>
    <row r="489" spans="3:13">
      <c r="C489" s="10"/>
      <c r="H489" s="10"/>
      <c r="J489" s="10"/>
      <c r="K489" s="10"/>
      <c r="L489" s="10"/>
      <c r="M489" s="10"/>
    </row>
    <row r="490" spans="3:13">
      <c r="C490" s="10"/>
      <c r="H490" s="10"/>
      <c r="J490" s="10"/>
      <c r="K490" s="10"/>
      <c r="L490" s="10"/>
      <c r="M490" s="10"/>
    </row>
    <row r="491" spans="3:13">
      <c r="C491" s="10"/>
      <c r="H491" s="10"/>
      <c r="J491" s="10"/>
      <c r="K491" s="10"/>
      <c r="L491" s="10"/>
      <c r="M491" s="10"/>
    </row>
    <row r="492" spans="3:13">
      <c r="C492" s="10"/>
      <c r="H492" s="10"/>
      <c r="J492" s="10"/>
      <c r="K492" s="10"/>
      <c r="L492" s="10"/>
      <c r="M492" s="10"/>
    </row>
    <row r="493" spans="3:13">
      <c r="C493" s="10"/>
      <c r="H493" s="10"/>
      <c r="J493" s="10"/>
      <c r="K493" s="10"/>
      <c r="L493" s="10"/>
      <c r="M493" s="10"/>
    </row>
    <row r="494" spans="3:13">
      <c r="C494" s="10"/>
      <c r="H494" s="10"/>
      <c r="J494" s="10"/>
      <c r="K494" s="10"/>
      <c r="L494" s="10"/>
      <c r="M494" s="10"/>
    </row>
    <row r="495" spans="3:13">
      <c r="C495" s="10"/>
      <c r="H495" s="10"/>
      <c r="J495" s="10"/>
      <c r="K495" s="10"/>
      <c r="L495" s="10"/>
      <c r="M495" s="10"/>
    </row>
    <row r="496" spans="3:13">
      <c r="C496" s="10"/>
      <c r="H496" s="10"/>
      <c r="J496" s="10"/>
      <c r="K496" s="10"/>
      <c r="L496" s="10"/>
      <c r="M496" s="10"/>
    </row>
    <row r="497" spans="3:13">
      <c r="C497" s="10"/>
      <c r="H497" s="10"/>
      <c r="J497" s="10"/>
      <c r="K497" s="10"/>
      <c r="L497" s="10"/>
      <c r="M497" s="10"/>
    </row>
    <row r="498" spans="3:13">
      <c r="C498" s="10"/>
      <c r="H498" s="10"/>
      <c r="J498" s="10"/>
      <c r="K498" s="10"/>
      <c r="L498" s="10"/>
      <c r="M498" s="10"/>
    </row>
    <row r="499" spans="3:13">
      <c r="C499" s="10"/>
      <c r="H499" s="10"/>
      <c r="J499" s="10"/>
      <c r="K499" s="10"/>
      <c r="L499" s="10"/>
      <c r="M499" s="10"/>
    </row>
    <row r="500" spans="3:13">
      <c r="C500" s="10"/>
      <c r="H500" s="10"/>
      <c r="J500" s="10"/>
      <c r="K500" s="10"/>
      <c r="L500" s="10"/>
      <c r="M500" s="10"/>
    </row>
    <row r="501" spans="3:13">
      <c r="C501" s="10"/>
      <c r="H501" s="10"/>
      <c r="J501" s="10"/>
      <c r="K501" s="10"/>
      <c r="L501" s="10"/>
      <c r="M501" s="10"/>
    </row>
    <row r="502" spans="3:13">
      <c r="C502" s="10"/>
      <c r="H502" s="10"/>
      <c r="J502" s="10"/>
      <c r="K502" s="10"/>
      <c r="L502" s="10"/>
      <c r="M502" s="10"/>
    </row>
    <row r="503" spans="3:13">
      <c r="C503" s="10"/>
      <c r="H503" s="10"/>
      <c r="J503" s="10"/>
      <c r="K503" s="10"/>
      <c r="L503" s="10"/>
      <c r="M503" s="10"/>
    </row>
    <row r="504" spans="3:13">
      <c r="C504" s="10"/>
      <c r="H504" s="10"/>
      <c r="J504" s="10"/>
      <c r="K504" s="10"/>
      <c r="L504" s="10"/>
      <c r="M504" s="10"/>
    </row>
    <row r="505" spans="3:13">
      <c r="C505" s="10"/>
      <c r="H505" s="10"/>
      <c r="J505" s="10"/>
      <c r="K505" s="10"/>
      <c r="L505" s="10"/>
      <c r="M505" s="10"/>
    </row>
    <row r="506" spans="3:13">
      <c r="C506" s="10"/>
      <c r="H506" s="10"/>
      <c r="J506" s="10"/>
      <c r="K506" s="10"/>
      <c r="L506" s="10"/>
      <c r="M506" s="10"/>
    </row>
    <row r="507" spans="3:13">
      <c r="C507" s="10"/>
      <c r="H507" s="10"/>
      <c r="J507" s="10"/>
      <c r="K507" s="10"/>
      <c r="L507" s="10"/>
      <c r="M507" s="10"/>
    </row>
    <row r="508" spans="3:13">
      <c r="C508" s="10"/>
      <c r="H508" s="10"/>
      <c r="J508" s="10"/>
      <c r="K508" s="10"/>
      <c r="L508" s="10"/>
      <c r="M508" s="10"/>
    </row>
    <row r="509" spans="3:13">
      <c r="C509" s="10"/>
      <c r="H509" s="10"/>
      <c r="J509" s="10"/>
      <c r="K509" s="10"/>
      <c r="L509" s="10"/>
      <c r="M509" s="10"/>
    </row>
    <row r="510" spans="3:13">
      <c r="C510" s="10"/>
      <c r="H510" s="10"/>
      <c r="J510" s="10"/>
      <c r="K510" s="10"/>
      <c r="L510" s="10"/>
      <c r="M510" s="10"/>
    </row>
    <row r="511" spans="3:13">
      <c r="C511" s="10"/>
      <c r="H511" s="10"/>
      <c r="J511" s="10"/>
      <c r="K511" s="10"/>
      <c r="L511" s="10"/>
      <c r="M511" s="10"/>
    </row>
    <row r="512" spans="3:13">
      <c r="C512" s="10"/>
      <c r="H512" s="10"/>
      <c r="J512" s="10"/>
      <c r="K512" s="10"/>
      <c r="L512" s="10"/>
      <c r="M512" s="10"/>
    </row>
    <row r="513" spans="3:13">
      <c r="C513" s="10"/>
      <c r="H513" s="10"/>
      <c r="J513" s="10"/>
      <c r="K513" s="10"/>
      <c r="L513" s="10"/>
      <c r="M513" s="10"/>
    </row>
    <row r="514" spans="3:13">
      <c r="C514" s="10"/>
      <c r="H514" s="10"/>
      <c r="J514" s="10"/>
      <c r="K514" s="10"/>
      <c r="L514" s="10"/>
      <c r="M514" s="10"/>
    </row>
    <row r="515" spans="3:13">
      <c r="C515" s="10"/>
      <c r="H515" s="10"/>
      <c r="J515" s="10"/>
      <c r="K515" s="10"/>
      <c r="L515" s="10"/>
      <c r="M515" s="10"/>
    </row>
    <row r="516" spans="3:13">
      <c r="C516" s="10"/>
      <c r="H516" s="10"/>
      <c r="J516" s="10"/>
      <c r="K516" s="10"/>
      <c r="L516" s="10"/>
      <c r="M516" s="10"/>
    </row>
    <row r="517" spans="3:13">
      <c r="C517" s="10"/>
      <c r="H517" s="10"/>
      <c r="J517" s="10"/>
      <c r="K517" s="10"/>
      <c r="L517" s="10"/>
      <c r="M517" s="10"/>
    </row>
    <row r="518" spans="3:13">
      <c r="C518" s="10"/>
      <c r="H518" s="10"/>
      <c r="J518" s="10"/>
      <c r="K518" s="10"/>
      <c r="L518" s="10"/>
      <c r="M518" s="10"/>
    </row>
    <row r="519" spans="3:13">
      <c r="C519" s="10"/>
      <c r="H519" s="10"/>
      <c r="J519" s="10"/>
      <c r="K519" s="10"/>
      <c r="L519" s="10"/>
      <c r="M519" s="10"/>
    </row>
    <row r="520" spans="3:13">
      <c r="C520" s="10"/>
      <c r="H520" s="10"/>
      <c r="J520" s="10"/>
      <c r="K520" s="10"/>
      <c r="L520" s="10"/>
      <c r="M520" s="10"/>
    </row>
    <row r="521" spans="3:13">
      <c r="C521" s="10"/>
      <c r="H521" s="10"/>
      <c r="J521" s="10"/>
      <c r="K521" s="10"/>
      <c r="L521" s="10"/>
      <c r="M521" s="10"/>
    </row>
    <row r="522" spans="3:13">
      <c r="C522" s="10"/>
      <c r="H522" s="10"/>
      <c r="J522" s="10"/>
      <c r="K522" s="10"/>
      <c r="L522" s="10"/>
      <c r="M522" s="10"/>
    </row>
    <row r="523" spans="3:13">
      <c r="C523" s="10"/>
      <c r="H523" s="10"/>
      <c r="J523" s="10"/>
      <c r="K523" s="10"/>
      <c r="L523" s="10"/>
      <c r="M523" s="10"/>
    </row>
    <row r="524" spans="3:13">
      <c r="C524" s="10"/>
      <c r="H524" s="10"/>
      <c r="J524" s="10"/>
      <c r="K524" s="10"/>
      <c r="L524" s="10"/>
      <c r="M524" s="10"/>
    </row>
    <row r="525" spans="3:13">
      <c r="C525" s="10"/>
      <c r="H525" s="10"/>
      <c r="J525" s="10"/>
      <c r="K525" s="10"/>
      <c r="L525" s="10"/>
      <c r="M525" s="10"/>
    </row>
    <row r="526" spans="3:13">
      <c r="C526" s="10"/>
      <c r="H526" s="10"/>
      <c r="J526" s="10"/>
      <c r="K526" s="10"/>
      <c r="L526" s="10"/>
      <c r="M526" s="10"/>
    </row>
    <row r="527" spans="3:13">
      <c r="C527" s="10"/>
      <c r="H527" s="10"/>
      <c r="J527" s="10"/>
      <c r="K527" s="10"/>
      <c r="L527" s="10"/>
      <c r="M527" s="10"/>
    </row>
    <row r="528" spans="3:13">
      <c r="C528" s="10"/>
      <c r="H528" s="10"/>
      <c r="J528" s="10"/>
      <c r="K528" s="10"/>
      <c r="L528" s="10"/>
      <c r="M528" s="10"/>
    </row>
    <row r="529" spans="3:13">
      <c r="C529" s="10"/>
      <c r="H529" s="10"/>
      <c r="J529" s="10"/>
      <c r="K529" s="10"/>
      <c r="L529" s="10"/>
      <c r="M529" s="10"/>
    </row>
    <row r="530" spans="3:13">
      <c r="C530" s="10"/>
      <c r="H530" s="10"/>
      <c r="J530" s="10"/>
      <c r="K530" s="10"/>
      <c r="L530" s="10"/>
      <c r="M530" s="10"/>
    </row>
    <row r="531" spans="3:13">
      <c r="C531" s="10"/>
      <c r="H531" s="10"/>
      <c r="J531" s="10"/>
      <c r="K531" s="10"/>
      <c r="L531" s="10"/>
      <c r="M531" s="10"/>
    </row>
    <row r="532" spans="3:13">
      <c r="C532" s="10"/>
      <c r="H532" s="10"/>
      <c r="J532" s="10"/>
      <c r="K532" s="10"/>
      <c r="L532" s="10"/>
      <c r="M532" s="10"/>
    </row>
    <row r="533" spans="3:13">
      <c r="C533" s="10"/>
      <c r="H533" s="10"/>
      <c r="J533" s="10"/>
      <c r="K533" s="10"/>
      <c r="L533" s="10"/>
      <c r="M533" s="10"/>
    </row>
    <row r="534" spans="3:13">
      <c r="C534" s="10"/>
      <c r="H534" s="10"/>
      <c r="J534" s="10"/>
      <c r="K534" s="10"/>
      <c r="L534" s="10"/>
      <c r="M534" s="10"/>
    </row>
    <row r="535" spans="3:13">
      <c r="C535" s="10"/>
      <c r="H535" s="10"/>
      <c r="J535" s="10"/>
      <c r="K535" s="10"/>
      <c r="L535" s="10"/>
      <c r="M535" s="10"/>
    </row>
    <row r="536" spans="3:13">
      <c r="C536" s="10"/>
      <c r="H536" s="10"/>
      <c r="J536" s="10"/>
      <c r="K536" s="10"/>
      <c r="L536" s="10"/>
      <c r="M536" s="10"/>
    </row>
    <row r="537" spans="3:13">
      <c r="C537" s="10"/>
      <c r="H537" s="10"/>
      <c r="J537" s="10"/>
      <c r="K537" s="10"/>
      <c r="L537" s="10"/>
      <c r="M537" s="10"/>
    </row>
    <row r="538" spans="3:13">
      <c r="C538" s="10"/>
      <c r="H538" s="10"/>
      <c r="J538" s="10"/>
      <c r="K538" s="10"/>
      <c r="L538" s="10"/>
      <c r="M538" s="10"/>
    </row>
    <row r="539" spans="3:13">
      <c r="C539" s="10"/>
      <c r="H539" s="10"/>
      <c r="J539" s="10"/>
      <c r="K539" s="10"/>
      <c r="L539" s="10"/>
      <c r="M539" s="10"/>
    </row>
    <row r="540" spans="3:13">
      <c r="C540" s="10"/>
      <c r="H540" s="10"/>
      <c r="J540" s="10"/>
      <c r="K540" s="10"/>
      <c r="L540" s="10"/>
      <c r="M540" s="10"/>
    </row>
    <row r="541" spans="3:13">
      <c r="C541" s="10"/>
      <c r="H541" s="10"/>
      <c r="J541" s="10"/>
      <c r="K541" s="10"/>
      <c r="L541" s="10"/>
      <c r="M541" s="10"/>
    </row>
    <row r="542" spans="3:13">
      <c r="C542" s="10"/>
      <c r="H542" s="10"/>
      <c r="J542" s="10"/>
      <c r="K542" s="10"/>
      <c r="L542" s="10"/>
      <c r="M542" s="10"/>
    </row>
    <row r="543" spans="3:13">
      <c r="C543" s="10"/>
      <c r="H543" s="10"/>
      <c r="J543" s="10"/>
      <c r="K543" s="10"/>
      <c r="L543" s="10"/>
      <c r="M543" s="10"/>
    </row>
    <row r="544" spans="3:13">
      <c r="C544" s="10"/>
      <c r="H544" s="10"/>
      <c r="J544" s="10"/>
      <c r="K544" s="10"/>
      <c r="L544" s="10"/>
      <c r="M544" s="10"/>
    </row>
    <row r="545" spans="3:13">
      <c r="C545" s="10"/>
      <c r="H545" s="10"/>
      <c r="J545" s="10"/>
      <c r="K545" s="10"/>
      <c r="L545" s="10"/>
      <c r="M545" s="10"/>
    </row>
    <row r="546" spans="3:13">
      <c r="C546" s="10"/>
      <c r="H546" s="10"/>
      <c r="J546" s="10"/>
      <c r="K546" s="10"/>
      <c r="L546" s="10"/>
      <c r="M546" s="10"/>
    </row>
    <row r="547" spans="3:13">
      <c r="C547" s="10"/>
      <c r="H547" s="10"/>
      <c r="J547" s="10"/>
      <c r="K547" s="10"/>
      <c r="L547" s="10"/>
      <c r="M547" s="10"/>
    </row>
    <row r="548" spans="3:13">
      <c r="C548" s="10"/>
      <c r="H548" s="10"/>
      <c r="J548" s="10"/>
      <c r="K548" s="10"/>
      <c r="L548" s="10"/>
      <c r="M548" s="10"/>
    </row>
    <row r="549" spans="3:13">
      <c r="C549" s="10"/>
      <c r="H549" s="10"/>
      <c r="J549" s="10"/>
      <c r="K549" s="10"/>
      <c r="L549" s="10"/>
      <c r="M549" s="10"/>
    </row>
    <row r="550" spans="3:13">
      <c r="C550" s="10"/>
      <c r="H550" s="10"/>
      <c r="J550" s="10"/>
      <c r="K550" s="10"/>
      <c r="L550" s="10"/>
      <c r="M550" s="10"/>
    </row>
    <row r="551" spans="3:13">
      <c r="C551" s="10"/>
      <c r="H551" s="10"/>
      <c r="J551" s="10"/>
      <c r="K551" s="10"/>
      <c r="L551" s="10"/>
      <c r="M551" s="10"/>
    </row>
    <row r="552" spans="3:13">
      <c r="C552" s="10"/>
      <c r="H552" s="10"/>
      <c r="J552" s="10"/>
      <c r="K552" s="10"/>
      <c r="L552" s="10"/>
      <c r="M552" s="10"/>
    </row>
    <row r="553" spans="3:13">
      <c r="C553" s="10"/>
      <c r="H553" s="10"/>
      <c r="J553" s="10"/>
      <c r="K553" s="10"/>
      <c r="L553" s="10"/>
      <c r="M553" s="10"/>
    </row>
    <row r="554" spans="3:13">
      <c r="C554" s="10"/>
      <c r="H554" s="10"/>
      <c r="J554" s="10"/>
      <c r="K554" s="10"/>
      <c r="L554" s="10"/>
      <c r="M554" s="10"/>
    </row>
    <row r="555" spans="3:13">
      <c r="C555" s="10"/>
      <c r="H555" s="10"/>
      <c r="J555" s="10"/>
      <c r="K555" s="10"/>
      <c r="L555" s="10"/>
      <c r="M555" s="10"/>
    </row>
    <row r="556" spans="3:13">
      <c r="C556" s="10"/>
      <c r="H556" s="10"/>
      <c r="J556" s="10"/>
      <c r="K556" s="10"/>
      <c r="L556" s="10"/>
      <c r="M556" s="10"/>
    </row>
    <row r="557" spans="3:13">
      <c r="C557" s="10"/>
      <c r="H557" s="10"/>
      <c r="J557" s="10"/>
      <c r="K557" s="10"/>
      <c r="L557" s="10"/>
      <c r="M557" s="10"/>
    </row>
    <row r="558" spans="3:13">
      <c r="C558" s="10"/>
      <c r="H558" s="10"/>
      <c r="J558" s="10"/>
      <c r="K558" s="10"/>
      <c r="L558" s="10"/>
      <c r="M558" s="10"/>
    </row>
    <row r="559" spans="3:13">
      <c r="C559" s="10"/>
      <c r="H559" s="10"/>
      <c r="J559" s="10"/>
      <c r="K559" s="10"/>
      <c r="L559" s="10"/>
      <c r="M559" s="10"/>
    </row>
    <row r="560" spans="3:13">
      <c r="C560" s="10"/>
      <c r="H560" s="10"/>
      <c r="J560" s="10"/>
      <c r="K560" s="10"/>
      <c r="L560" s="10"/>
      <c r="M560" s="10"/>
    </row>
    <row r="561" spans="3:13">
      <c r="C561" s="10"/>
      <c r="H561" s="10"/>
      <c r="J561" s="10"/>
      <c r="K561" s="10"/>
      <c r="L561" s="10"/>
      <c r="M561" s="10"/>
    </row>
    <row r="562" spans="3:13">
      <c r="C562" s="10"/>
      <c r="H562" s="10"/>
      <c r="J562" s="10"/>
      <c r="K562" s="10"/>
      <c r="L562" s="10"/>
      <c r="M562" s="10"/>
    </row>
    <row r="563" spans="3:13">
      <c r="C563" s="10"/>
      <c r="H563" s="10"/>
      <c r="J563" s="10"/>
      <c r="K563" s="10"/>
      <c r="L563" s="10"/>
      <c r="M563" s="10"/>
    </row>
    <row r="564" spans="3:13">
      <c r="C564" s="10"/>
      <c r="H564" s="10"/>
      <c r="J564" s="10"/>
      <c r="K564" s="10"/>
      <c r="L564" s="10"/>
      <c r="M564" s="10"/>
    </row>
    <row r="565" spans="3:13">
      <c r="C565" s="10"/>
      <c r="H565" s="10"/>
      <c r="J565" s="10"/>
      <c r="K565" s="10"/>
      <c r="L565" s="10"/>
      <c r="M565" s="10"/>
    </row>
    <row r="566" spans="3:13">
      <c r="C566" s="10"/>
      <c r="H566" s="10"/>
      <c r="J566" s="10"/>
      <c r="K566" s="10"/>
      <c r="L566" s="10"/>
      <c r="M566" s="10"/>
    </row>
    <row r="567" spans="3:13">
      <c r="C567" s="10"/>
      <c r="H567" s="10"/>
      <c r="J567" s="10"/>
      <c r="K567" s="10"/>
      <c r="L567" s="10"/>
      <c r="M567" s="10"/>
    </row>
    <row r="568" spans="3:13">
      <c r="C568" s="10"/>
      <c r="H568" s="10"/>
      <c r="J568" s="10"/>
      <c r="K568" s="10"/>
      <c r="L568" s="10"/>
      <c r="M568" s="10"/>
    </row>
    <row r="569" spans="3:13">
      <c r="C569" s="10"/>
      <c r="H569" s="10"/>
      <c r="J569" s="10"/>
      <c r="K569" s="10"/>
      <c r="L569" s="10"/>
      <c r="M569" s="10"/>
    </row>
    <row r="570" spans="3:13">
      <c r="C570" s="10"/>
      <c r="H570" s="10"/>
      <c r="J570" s="10"/>
      <c r="K570" s="10"/>
      <c r="L570" s="10"/>
      <c r="M570" s="10"/>
    </row>
    <row r="571" spans="3:13">
      <c r="C571" s="10"/>
      <c r="H571" s="10"/>
      <c r="J571" s="10"/>
      <c r="K571" s="10"/>
      <c r="L571" s="10"/>
      <c r="M571" s="10"/>
    </row>
    <row r="572" spans="3:13">
      <c r="C572" s="10"/>
      <c r="H572" s="10"/>
      <c r="J572" s="10"/>
      <c r="K572" s="10"/>
      <c r="L572" s="10"/>
      <c r="M572" s="10"/>
    </row>
    <row r="573" spans="3:13">
      <c r="C573" s="10"/>
      <c r="H573" s="10"/>
      <c r="J573" s="10"/>
      <c r="K573" s="10"/>
      <c r="L573" s="10"/>
      <c r="M573" s="10"/>
    </row>
    <row r="574" spans="3:13">
      <c r="C574" s="10"/>
      <c r="H574" s="10"/>
      <c r="J574" s="10"/>
      <c r="K574" s="10"/>
      <c r="L574" s="10"/>
      <c r="M574" s="10"/>
    </row>
    <row r="575" spans="3:13">
      <c r="C575" s="10"/>
      <c r="H575" s="10"/>
      <c r="J575" s="10"/>
      <c r="K575" s="10"/>
      <c r="L575" s="10"/>
      <c r="M575" s="10"/>
    </row>
    <row r="576" spans="3:13">
      <c r="C576" s="10"/>
      <c r="H576" s="10"/>
      <c r="J576" s="10"/>
      <c r="K576" s="10"/>
      <c r="L576" s="10"/>
      <c r="M576" s="10"/>
    </row>
    <row r="577" spans="3:13">
      <c r="C577" s="10"/>
      <c r="H577" s="10"/>
      <c r="J577" s="10"/>
      <c r="K577" s="10"/>
      <c r="L577" s="10"/>
      <c r="M577" s="10"/>
    </row>
    <row r="578" spans="3:13">
      <c r="C578" s="10"/>
      <c r="H578" s="10"/>
      <c r="J578" s="10"/>
      <c r="K578" s="10"/>
      <c r="L578" s="10"/>
      <c r="M578" s="10"/>
    </row>
    <row r="579" spans="3:13">
      <c r="C579" s="10"/>
      <c r="H579" s="10"/>
      <c r="J579" s="10"/>
      <c r="K579" s="10"/>
      <c r="L579" s="10"/>
      <c r="M579" s="10"/>
    </row>
    <row r="580" spans="3:13">
      <c r="C580" s="10"/>
      <c r="H580" s="10"/>
      <c r="J580" s="10"/>
      <c r="K580" s="10"/>
      <c r="L580" s="10"/>
      <c r="M580" s="10"/>
    </row>
    <row r="581" spans="3:13">
      <c r="C581" s="10"/>
      <c r="H581" s="10"/>
      <c r="J581" s="10"/>
      <c r="K581" s="10"/>
      <c r="L581" s="10"/>
      <c r="M581" s="10"/>
    </row>
    <row r="582" spans="3:13">
      <c r="C582" s="10"/>
      <c r="H582" s="10"/>
      <c r="J582" s="10"/>
      <c r="K582" s="10"/>
      <c r="L582" s="10"/>
      <c r="M582" s="10"/>
    </row>
    <row r="583" spans="3:13">
      <c r="C583" s="10"/>
      <c r="H583" s="10"/>
      <c r="J583" s="10"/>
      <c r="K583" s="10"/>
      <c r="L583" s="10"/>
      <c r="M583" s="10"/>
    </row>
    <row r="584" spans="3:13">
      <c r="C584" s="10"/>
      <c r="H584" s="10"/>
      <c r="J584" s="10"/>
      <c r="K584" s="10"/>
      <c r="L584" s="10"/>
      <c r="M584" s="10"/>
    </row>
    <row r="585" spans="3:13">
      <c r="C585" s="10"/>
      <c r="H585" s="10"/>
      <c r="J585" s="10"/>
      <c r="K585" s="10"/>
      <c r="L585" s="10"/>
      <c r="M585" s="10"/>
    </row>
    <row r="586" spans="3:13">
      <c r="C586" s="10"/>
      <c r="H586" s="10"/>
      <c r="J586" s="10"/>
      <c r="K586" s="10"/>
      <c r="L586" s="10"/>
      <c r="M586" s="10"/>
    </row>
    <row r="587" spans="3:13">
      <c r="C587" s="10"/>
      <c r="H587" s="10"/>
      <c r="J587" s="10"/>
      <c r="K587" s="10"/>
      <c r="L587" s="10"/>
      <c r="M587" s="10"/>
    </row>
    <row r="588" spans="3:13">
      <c r="C588" s="10"/>
      <c r="H588" s="10"/>
      <c r="J588" s="10"/>
      <c r="K588" s="10"/>
      <c r="L588" s="10"/>
      <c r="M588" s="10"/>
    </row>
    <row r="589" spans="3:13">
      <c r="C589" s="10"/>
      <c r="H589" s="10"/>
      <c r="J589" s="10"/>
      <c r="K589" s="10"/>
      <c r="L589" s="10"/>
      <c r="M589" s="10"/>
    </row>
    <row r="590" spans="3:13">
      <c r="C590" s="10"/>
      <c r="H590" s="10"/>
      <c r="J590" s="10"/>
      <c r="K590" s="10"/>
      <c r="L590" s="10"/>
      <c r="M590" s="10"/>
    </row>
    <row r="591" spans="3:13">
      <c r="C591" s="10"/>
      <c r="H591" s="10"/>
      <c r="J591" s="10"/>
      <c r="K591" s="10"/>
      <c r="L591" s="10"/>
      <c r="M591" s="10"/>
    </row>
    <row r="592" spans="3:13">
      <c r="C592" s="10"/>
      <c r="H592" s="10"/>
      <c r="J592" s="10"/>
      <c r="K592" s="10"/>
      <c r="L592" s="10"/>
      <c r="M592" s="10"/>
    </row>
    <row r="593" spans="3:13">
      <c r="C593" s="10"/>
      <c r="H593" s="10"/>
      <c r="J593" s="10"/>
      <c r="K593" s="10"/>
      <c r="L593" s="10"/>
      <c r="M593" s="10"/>
    </row>
    <row r="594" spans="3:13">
      <c r="C594" s="10"/>
      <c r="H594" s="10"/>
      <c r="J594" s="10"/>
      <c r="K594" s="10"/>
      <c r="L594" s="10"/>
      <c r="M594" s="10"/>
    </row>
    <row r="595" spans="3:13">
      <c r="C595" s="10"/>
      <c r="H595" s="10"/>
      <c r="J595" s="10"/>
      <c r="K595" s="10"/>
      <c r="L595" s="10"/>
      <c r="M595" s="10"/>
    </row>
    <row r="596" spans="3:13">
      <c r="C596" s="10"/>
      <c r="H596" s="10"/>
      <c r="J596" s="10"/>
      <c r="K596" s="10"/>
      <c r="L596" s="10"/>
      <c r="M596" s="10"/>
    </row>
    <row r="597" spans="3:13">
      <c r="C597" s="10"/>
      <c r="H597" s="10"/>
      <c r="J597" s="10"/>
      <c r="K597" s="10"/>
      <c r="L597" s="10"/>
      <c r="M597" s="10"/>
    </row>
    <row r="598" spans="3:13">
      <c r="C598" s="10"/>
      <c r="H598" s="10"/>
      <c r="J598" s="10"/>
      <c r="K598" s="10"/>
      <c r="L598" s="10"/>
      <c r="M598" s="10"/>
    </row>
    <row r="599" spans="3:13">
      <c r="C599" s="10"/>
      <c r="H599" s="10"/>
      <c r="J599" s="10"/>
      <c r="K599" s="10"/>
      <c r="L599" s="10"/>
      <c r="M599" s="10"/>
    </row>
    <row r="600" spans="3:13">
      <c r="C600" s="10"/>
      <c r="H600" s="10"/>
      <c r="J600" s="10"/>
      <c r="K600" s="10"/>
      <c r="L600" s="10"/>
      <c r="M600" s="10"/>
    </row>
    <row r="601" spans="3:13">
      <c r="C601" s="10"/>
      <c r="H601" s="10"/>
      <c r="J601" s="10"/>
      <c r="K601" s="10"/>
      <c r="L601" s="10"/>
      <c r="M601" s="10"/>
    </row>
    <row r="602" spans="3:13">
      <c r="C602" s="10"/>
      <c r="H602" s="10"/>
      <c r="J602" s="10"/>
      <c r="K602" s="10"/>
      <c r="L602" s="10"/>
      <c r="M602" s="10"/>
    </row>
    <row r="603" spans="3:13">
      <c r="C603" s="10"/>
      <c r="H603" s="10"/>
      <c r="J603" s="10"/>
      <c r="K603" s="10"/>
      <c r="L603" s="10"/>
      <c r="M603" s="10"/>
    </row>
    <row r="604" spans="3:13">
      <c r="C604" s="10"/>
      <c r="H604" s="10"/>
      <c r="J604" s="10"/>
      <c r="K604" s="10"/>
      <c r="L604" s="10"/>
      <c r="M604" s="10"/>
    </row>
    <row r="605" spans="3:13">
      <c r="C605" s="10"/>
      <c r="H605" s="10"/>
      <c r="J605" s="10"/>
      <c r="K605" s="10"/>
      <c r="L605" s="10"/>
      <c r="M605" s="10"/>
    </row>
    <row r="606" spans="3:13">
      <c r="C606" s="10"/>
      <c r="H606" s="10"/>
      <c r="J606" s="10"/>
      <c r="K606" s="10"/>
      <c r="L606" s="10"/>
      <c r="M606" s="10"/>
    </row>
    <row r="607" spans="3:13">
      <c r="C607" s="10"/>
      <c r="H607" s="10"/>
      <c r="J607" s="10"/>
      <c r="K607" s="10"/>
      <c r="L607" s="10"/>
      <c r="M607" s="10"/>
    </row>
    <row r="608" spans="3:13">
      <c r="C608" s="10"/>
      <c r="H608" s="10"/>
      <c r="J608" s="10"/>
      <c r="K608" s="10"/>
      <c r="L608" s="10"/>
      <c r="M608" s="10"/>
    </row>
    <row r="609" spans="3:13">
      <c r="C609" s="10"/>
      <c r="H609" s="10"/>
      <c r="J609" s="10"/>
      <c r="K609" s="10"/>
      <c r="L609" s="10"/>
      <c r="M609" s="10"/>
    </row>
    <row r="610" spans="3:13">
      <c r="C610" s="10"/>
      <c r="H610" s="10"/>
      <c r="J610" s="10"/>
      <c r="K610" s="10"/>
      <c r="L610" s="10"/>
      <c r="M610" s="10"/>
    </row>
    <row r="611" spans="3:13">
      <c r="C611" s="10"/>
      <c r="H611" s="10"/>
      <c r="J611" s="10"/>
      <c r="K611" s="10"/>
      <c r="L611" s="10"/>
      <c r="M611" s="10"/>
    </row>
    <row r="612" spans="3:13">
      <c r="C612" s="10"/>
      <c r="H612" s="10"/>
      <c r="J612" s="10"/>
      <c r="K612" s="10"/>
      <c r="L612" s="10"/>
      <c r="M612" s="10"/>
    </row>
    <row r="613" spans="3:13">
      <c r="C613" s="10"/>
      <c r="H613" s="10"/>
      <c r="J613" s="10"/>
      <c r="K613" s="10"/>
      <c r="L613" s="10"/>
      <c r="M613" s="10"/>
    </row>
    <row r="614" spans="3:13">
      <c r="C614" s="10"/>
      <c r="H614" s="10"/>
      <c r="J614" s="10"/>
      <c r="K614" s="10"/>
      <c r="L614" s="10"/>
      <c r="M614" s="10"/>
    </row>
    <row r="615" spans="3:13">
      <c r="C615" s="10"/>
      <c r="H615" s="10"/>
      <c r="J615" s="10"/>
      <c r="K615" s="10"/>
      <c r="L615" s="10"/>
      <c r="M615" s="10"/>
    </row>
    <row r="616" spans="3:13">
      <c r="C616" s="10"/>
      <c r="H616" s="10"/>
      <c r="J616" s="10"/>
      <c r="K616" s="10"/>
      <c r="L616" s="10"/>
      <c r="M616" s="10"/>
    </row>
    <row r="617" spans="3:13">
      <c r="C617" s="10"/>
      <c r="H617" s="10"/>
      <c r="J617" s="10"/>
      <c r="K617" s="10"/>
      <c r="L617" s="10"/>
      <c r="M617" s="10"/>
    </row>
    <row r="618" spans="3:13">
      <c r="C618" s="10"/>
      <c r="H618" s="10"/>
      <c r="J618" s="10"/>
      <c r="K618" s="10"/>
      <c r="L618" s="10"/>
      <c r="M618" s="10"/>
    </row>
    <row r="619" spans="3:13">
      <c r="C619" s="10"/>
      <c r="H619" s="10"/>
      <c r="J619" s="10"/>
      <c r="K619" s="10"/>
      <c r="L619" s="10"/>
      <c r="M619" s="10"/>
    </row>
    <row r="620" spans="3:13">
      <c r="C620" s="10"/>
      <c r="H620" s="10"/>
      <c r="J620" s="10"/>
      <c r="K620" s="10"/>
      <c r="L620" s="10"/>
      <c r="M620" s="10"/>
    </row>
    <row r="621" spans="3:13">
      <c r="C621" s="10"/>
      <c r="H621" s="10"/>
      <c r="J621" s="10"/>
      <c r="K621" s="10"/>
      <c r="L621" s="10"/>
      <c r="M621" s="10"/>
    </row>
    <row r="622" spans="3:13">
      <c r="C622" s="10"/>
      <c r="H622" s="10"/>
      <c r="J622" s="10"/>
      <c r="K622" s="10"/>
      <c r="L622" s="10"/>
      <c r="M622" s="10"/>
    </row>
    <row r="623" spans="3:13">
      <c r="C623" s="10"/>
      <c r="H623" s="10"/>
      <c r="J623" s="10"/>
      <c r="K623" s="10"/>
      <c r="L623" s="10"/>
      <c r="M623" s="10"/>
    </row>
    <row r="624" spans="3:13">
      <c r="C624" s="10"/>
      <c r="H624" s="10"/>
      <c r="J624" s="10"/>
      <c r="K624" s="10"/>
      <c r="L624" s="10"/>
      <c r="M624" s="10"/>
    </row>
    <row r="625" spans="3:13">
      <c r="C625" s="10"/>
      <c r="H625" s="10"/>
      <c r="J625" s="10"/>
      <c r="K625" s="10"/>
      <c r="L625" s="10"/>
      <c r="M625" s="10"/>
    </row>
    <row r="626" spans="3:13">
      <c r="C626" s="10"/>
      <c r="H626" s="10"/>
      <c r="J626" s="10"/>
      <c r="K626" s="10"/>
      <c r="L626" s="10"/>
      <c r="M626" s="10"/>
    </row>
    <row r="627" spans="3:13">
      <c r="C627" s="10"/>
      <c r="H627" s="10"/>
      <c r="J627" s="10"/>
      <c r="K627" s="10"/>
      <c r="L627" s="10"/>
      <c r="M627" s="10"/>
    </row>
    <row r="628" spans="3:13">
      <c r="C628" s="10"/>
      <c r="H628" s="10"/>
      <c r="J628" s="10"/>
      <c r="K628" s="10"/>
      <c r="L628" s="10"/>
      <c r="M628" s="10"/>
    </row>
    <row r="629" spans="3:13">
      <c r="C629" s="10"/>
      <c r="H629" s="10"/>
      <c r="J629" s="10"/>
      <c r="K629" s="10"/>
      <c r="L629" s="10"/>
      <c r="M629" s="10"/>
    </row>
    <row r="630" spans="3:13">
      <c r="C630" s="10"/>
      <c r="H630" s="10"/>
      <c r="J630" s="10"/>
      <c r="K630" s="10"/>
      <c r="L630" s="10"/>
      <c r="M630" s="10"/>
    </row>
    <row r="631" spans="3:13">
      <c r="C631" s="10"/>
      <c r="H631" s="10"/>
      <c r="J631" s="10"/>
      <c r="K631" s="10"/>
      <c r="L631" s="10"/>
      <c r="M631" s="10"/>
    </row>
    <row r="632" spans="3:13">
      <c r="C632" s="10"/>
      <c r="H632" s="10"/>
      <c r="J632" s="10"/>
      <c r="K632" s="10"/>
      <c r="L632" s="10"/>
      <c r="M632" s="10"/>
    </row>
    <row r="633" spans="3:13">
      <c r="C633" s="10"/>
      <c r="H633" s="10"/>
      <c r="J633" s="10"/>
      <c r="K633" s="10"/>
      <c r="L633" s="10"/>
      <c r="M633" s="10"/>
    </row>
    <row r="634" spans="3:13">
      <c r="C634" s="10"/>
      <c r="H634" s="10"/>
      <c r="J634" s="10"/>
      <c r="K634" s="10"/>
      <c r="L634" s="10"/>
      <c r="M634" s="10"/>
    </row>
    <row r="635" spans="3:13">
      <c r="C635" s="10"/>
      <c r="H635" s="10"/>
      <c r="J635" s="10"/>
      <c r="K635" s="10"/>
      <c r="L635" s="10"/>
      <c r="M635" s="10"/>
    </row>
    <row r="636" spans="3:13">
      <c r="C636" s="10"/>
      <c r="H636" s="10"/>
      <c r="J636" s="10"/>
      <c r="K636" s="10"/>
      <c r="L636" s="10"/>
      <c r="M636" s="10"/>
    </row>
    <row r="637" spans="3:13">
      <c r="C637" s="10"/>
      <c r="H637" s="10"/>
      <c r="J637" s="10"/>
      <c r="K637" s="10"/>
      <c r="L637" s="10"/>
      <c r="M637" s="10"/>
    </row>
    <row r="638" spans="3:13">
      <c r="C638" s="10"/>
      <c r="H638" s="10"/>
      <c r="J638" s="10"/>
      <c r="K638" s="10"/>
      <c r="L638" s="10"/>
      <c r="M638" s="10"/>
    </row>
    <row r="639" spans="3:13">
      <c r="C639" s="10"/>
      <c r="H639" s="10"/>
      <c r="J639" s="10"/>
      <c r="K639" s="10"/>
      <c r="L639" s="10"/>
      <c r="M639" s="10"/>
    </row>
    <row r="640" spans="3:13">
      <c r="C640" s="10"/>
      <c r="H640" s="10"/>
      <c r="J640" s="10"/>
      <c r="K640" s="10"/>
      <c r="L640" s="10"/>
      <c r="M640" s="10"/>
    </row>
    <row r="641" spans="3:13">
      <c r="C641" s="10"/>
      <c r="H641" s="10"/>
      <c r="J641" s="10"/>
      <c r="K641" s="10"/>
      <c r="L641" s="10"/>
      <c r="M641" s="10"/>
    </row>
    <row r="642" spans="3:13">
      <c r="C642" s="10"/>
      <c r="H642" s="10"/>
      <c r="J642" s="10"/>
      <c r="K642" s="10"/>
      <c r="L642" s="10"/>
      <c r="M642" s="10"/>
    </row>
    <row r="643" spans="3:13">
      <c r="C643" s="10"/>
      <c r="H643" s="10"/>
      <c r="J643" s="10"/>
      <c r="K643" s="10"/>
      <c r="L643" s="10"/>
      <c r="M643" s="10"/>
    </row>
    <row r="644" spans="3:13">
      <c r="C644" s="10"/>
      <c r="H644" s="10"/>
      <c r="J644" s="10"/>
      <c r="K644" s="10"/>
      <c r="L644" s="10"/>
      <c r="M644" s="10"/>
    </row>
    <row r="645" spans="3:13">
      <c r="C645" s="10"/>
      <c r="H645" s="10"/>
      <c r="J645" s="10"/>
      <c r="K645" s="10"/>
      <c r="L645" s="10"/>
      <c r="M645" s="10"/>
    </row>
    <row r="646" spans="3:13">
      <c r="C646" s="10"/>
      <c r="H646" s="10"/>
      <c r="J646" s="10"/>
      <c r="K646" s="10"/>
      <c r="L646" s="10"/>
      <c r="M646" s="10"/>
    </row>
    <row r="647" spans="3:13">
      <c r="C647" s="10"/>
      <c r="H647" s="10"/>
      <c r="J647" s="10"/>
      <c r="K647" s="10"/>
      <c r="L647" s="10"/>
      <c r="M647" s="10"/>
    </row>
    <row r="648" spans="3:13">
      <c r="C648" s="10"/>
      <c r="H648" s="10"/>
      <c r="J648" s="10"/>
      <c r="K648" s="10"/>
      <c r="L648" s="10"/>
      <c r="M648" s="10"/>
    </row>
    <row r="649" spans="3:13">
      <c r="C649" s="10"/>
      <c r="H649" s="10"/>
      <c r="J649" s="10"/>
      <c r="K649" s="10"/>
      <c r="L649" s="10"/>
      <c r="M649" s="10"/>
    </row>
    <row r="650" spans="3:13">
      <c r="C650" s="10"/>
      <c r="H650" s="10"/>
      <c r="J650" s="10"/>
      <c r="K650" s="10"/>
      <c r="L650" s="10"/>
      <c r="M650" s="10"/>
    </row>
    <row r="651" spans="3:13">
      <c r="C651" s="10"/>
      <c r="H651" s="10"/>
      <c r="J651" s="10"/>
      <c r="K651" s="10"/>
      <c r="L651" s="10"/>
      <c r="M651" s="10"/>
    </row>
    <row r="652" spans="3:13">
      <c r="C652" s="10"/>
      <c r="H652" s="10"/>
      <c r="J652" s="10"/>
      <c r="K652" s="10"/>
      <c r="L652" s="10"/>
      <c r="M652" s="10"/>
    </row>
    <row r="653" spans="3:13">
      <c r="C653" s="10"/>
      <c r="H653" s="10"/>
      <c r="J653" s="10"/>
      <c r="K653" s="10"/>
      <c r="L653" s="10"/>
      <c r="M653" s="10"/>
    </row>
    <row r="654" spans="3:13">
      <c r="C654" s="10"/>
      <c r="H654" s="10"/>
      <c r="J654" s="10"/>
      <c r="K654" s="10"/>
      <c r="L654" s="10"/>
      <c r="M654" s="10"/>
    </row>
    <row r="655" spans="3:13">
      <c r="C655" s="10"/>
      <c r="H655" s="10"/>
      <c r="J655" s="10"/>
      <c r="K655" s="10"/>
      <c r="L655" s="10"/>
      <c r="M655" s="10"/>
    </row>
    <row r="656" spans="3:13">
      <c r="C656" s="10"/>
      <c r="H656" s="10"/>
      <c r="J656" s="10"/>
      <c r="K656" s="10"/>
      <c r="L656" s="10"/>
      <c r="M656" s="10"/>
    </row>
    <row r="657" spans="3:13">
      <c r="C657" s="10"/>
      <c r="H657" s="10"/>
      <c r="J657" s="10"/>
      <c r="K657" s="10"/>
      <c r="L657" s="10"/>
      <c r="M657" s="10"/>
    </row>
    <row r="658" spans="3:13">
      <c r="C658" s="10"/>
      <c r="H658" s="10"/>
      <c r="J658" s="10"/>
      <c r="K658" s="10"/>
      <c r="L658" s="10"/>
      <c r="M658" s="10"/>
    </row>
    <row r="659" spans="3:13">
      <c r="C659" s="10"/>
      <c r="H659" s="10"/>
      <c r="J659" s="10"/>
      <c r="K659" s="10"/>
      <c r="L659" s="10"/>
      <c r="M659" s="10"/>
    </row>
    <row r="660" spans="3:13">
      <c r="C660" s="10"/>
      <c r="H660" s="10"/>
      <c r="J660" s="10"/>
      <c r="K660" s="10"/>
      <c r="L660" s="10"/>
      <c r="M660" s="10"/>
    </row>
    <row r="661" spans="3:13">
      <c r="C661" s="10"/>
      <c r="H661" s="10"/>
      <c r="J661" s="10"/>
      <c r="K661" s="10"/>
      <c r="L661" s="10"/>
      <c r="M661" s="10"/>
    </row>
    <row r="662" spans="3:13">
      <c r="C662" s="10"/>
      <c r="H662" s="10"/>
      <c r="J662" s="10"/>
      <c r="K662" s="10"/>
      <c r="L662" s="10"/>
      <c r="M662" s="10"/>
    </row>
    <row r="663" spans="3:13">
      <c r="C663" s="10"/>
      <c r="H663" s="10"/>
      <c r="J663" s="10"/>
      <c r="K663" s="10"/>
      <c r="L663" s="10"/>
      <c r="M663" s="10"/>
    </row>
    <row r="664" spans="3:13">
      <c r="C664" s="10"/>
      <c r="H664" s="10"/>
      <c r="J664" s="10"/>
      <c r="K664" s="10"/>
      <c r="L664" s="10"/>
      <c r="M664" s="10"/>
    </row>
    <row r="665" spans="3:13">
      <c r="C665" s="10"/>
      <c r="H665" s="10"/>
      <c r="J665" s="10"/>
      <c r="K665" s="10"/>
      <c r="L665" s="10"/>
      <c r="M665" s="10"/>
    </row>
    <row r="666" spans="3:13">
      <c r="C666" s="10"/>
      <c r="H666" s="10"/>
      <c r="J666" s="10"/>
      <c r="K666" s="10"/>
      <c r="L666" s="10"/>
      <c r="M666" s="10"/>
    </row>
    <row r="667" spans="3:13">
      <c r="C667" s="10"/>
      <c r="H667" s="10"/>
      <c r="J667" s="10"/>
      <c r="K667" s="10"/>
      <c r="L667" s="10"/>
      <c r="M667" s="10"/>
    </row>
    <row r="668" spans="3:13">
      <c r="C668" s="10"/>
      <c r="H668" s="10"/>
      <c r="J668" s="10"/>
      <c r="K668" s="10"/>
      <c r="L668" s="10"/>
      <c r="M668" s="10"/>
    </row>
    <row r="669" spans="3:13">
      <c r="C669" s="10"/>
      <c r="H669" s="10"/>
      <c r="J669" s="10"/>
      <c r="K669" s="10"/>
      <c r="L669" s="10"/>
      <c r="M669" s="10"/>
    </row>
    <row r="670" spans="3:13">
      <c r="C670" s="10"/>
      <c r="H670" s="10"/>
      <c r="J670" s="10"/>
      <c r="K670" s="10"/>
      <c r="L670" s="10"/>
      <c r="M670" s="10"/>
    </row>
    <row r="671" spans="3:13">
      <c r="C671" s="10"/>
      <c r="H671" s="10"/>
      <c r="J671" s="10"/>
      <c r="K671" s="10"/>
      <c r="L671" s="10"/>
      <c r="M671" s="10"/>
    </row>
    <row r="672" spans="3:13">
      <c r="C672" s="10"/>
      <c r="H672" s="10"/>
      <c r="J672" s="10"/>
      <c r="K672" s="10"/>
      <c r="L672" s="10"/>
      <c r="M672" s="10"/>
    </row>
    <row r="673" spans="3:13">
      <c r="C673" s="10"/>
      <c r="H673" s="10"/>
      <c r="J673" s="10"/>
      <c r="K673" s="10"/>
      <c r="L673" s="10"/>
      <c r="M673" s="10"/>
    </row>
    <row r="674" spans="3:13">
      <c r="C674" s="10"/>
      <c r="H674" s="10"/>
      <c r="J674" s="10"/>
      <c r="K674" s="10"/>
      <c r="L674" s="10"/>
      <c r="M674" s="10"/>
    </row>
    <row r="675" spans="3:13">
      <c r="C675" s="10"/>
      <c r="H675" s="10"/>
      <c r="J675" s="10"/>
      <c r="K675" s="10"/>
      <c r="L675" s="10"/>
      <c r="M675" s="10"/>
    </row>
    <row r="676" spans="3:13">
      <c r="C676" s="10"/>
      <c r="H676" s="10"/>
      <c r="J676" s="10"/>
      <c r="K676" s="10"/>
      <c r="L676" s="10"/>
      <c r="M676" s="10"/>
    </row>
    <row r="677" spans="3:13">
      <c r="C677" s="10"/>
      <c r="H677" s="10"/>
      <c r="J677" s="10"/>
      <c r="K677" s="10"/>
      <c r="L677" s="10"/>
      <c r="M677" s="10"/>
    </row>
    <row r="678" spans="3:13">
      <c r="C678" s="10"/>
      <c r="H678" s="10"/>
      <c r="J678" s="10"/>
      <c r="K678" s="10"/>
      <c r="L678" s="10"/>
      <c r="M678" s="10"/>
    </row>
    <row r="679" spans="3:13">
      <c r="C679" s="10"/>
      <c r="H679" s="10"/>
      <c r="J679" s="10"/>
      <c r="K679" s="10"/>
      <c r="L679" s="10"/>
      <c r="M679" s="10"/>
    </row>
    <row r="680" spans="3:13">
      <c r="C680" s="10"/>
      <c r="H680" s="10"/>
      <c r="J680" s="10"/>
      <c r="K680" s="10"/>
      <c r="L680" s="10"/>
      <c r="M680" s="10"/>
    </row>
    <row r="681" spans="3:13">
      <c r="C681" s="10"/>
      <c r="H681" s="10"/>
      <c r="J681" s="10"/>
      <c r="K681" s="10"/>
      <c r="L681" s="10"/>
      <c r="M681" s="10"/>
    </row>
    <row r="682" spans="3:13">
      <c r="C682" s="10"/>
      <c r="H682" s="10"/>
      <c r="J682" s="10"/>
      <c r="K682" s="10"/>
      <c r="L682" s="10"/>
      <c r="M682" s="10"/>
    </row>
    <row r="683" spans="3:13">
      <c r="C683" s="10"/>
      <c r="H683" s="10"/>
      <c r="J683" s="10"/>
      <c r="K683" s="10"/>
      <c r="L683" s="10"/>
      <c r="M683" s="10"/>
    </row>
    <row r="684" spans="3:13">
      <c r="C684" s="10"/>
      <c r="H684" s="10"/>
      <c r="J684" s="10"/>
      <c r="K684" s="10"/>
      <c r="L684" s="10"/>
      <c r="M684" s="10"/>
    </row>
    <row r="685" spans="3:13">
      <c r="C685" s="10"/>
      <c r="H685" s="10"/>
      <c r="J685" s="10"/>
      <c r="K685" s="10"/>
      <c r="L685" s="10"/>
      <c r="M685" s="10"/>
    </row>
    <row r="686" spans="3:13">
      <c r="C686" s="10"/>
      <c r="H686" s="10"/>
      <c r="J686" s="10"/>
      <c r="K686" s="10"/>
      <c r="L686" s="10"/>
      <c r="M686" s="10"/>
    </row>
    <row r="687" spans="3:13">
      <c r="C687" s="10"/>
      <c r="H687" s="10"/>
      <c r="J687" s="10"/>
      <c r="K687" s="10"/>
      <c r="L687" s="10"/>
      <c r="M687" s="10"/>
    </row>
    <row r="688" spans="3:13">
      <c r="C688" s="10"/>
      <c r="H688" s="10"/>
      <c r="J688" s="10"/>
      <c r="K688" s="10"/>
      <c r="L688" s="10"/>
      <c r="M688" s="10"/>
    </row>
    <row r="689" spans="3:13">
      <c r="C689" s="10"/>
      <c r="H689" s="10"/>
      <c r="J689" s="10"/>
      <c r="K689" s="10"/>
      <c r="L689" s="10"/>
      <c r="M689" s="10"/>
    </row>
    <row r="690" spans="3:13">
      <c r="C690" s="10"/>
      <c r="H690" s="10"/>
      <c r="J690" s="10"/>
      <c r="K690" s="10"/>
      <c r="L690" s="10"/>
      <c r="M690" s="10"/>
    </row>
    <row r="691" spans="3:13">
      <c r="C691" s="10"/>
      <c r="H691" s="10"/>
      <c r="J691" s="10"/>
      <c r="K691" s="10"/>
      <c r="L691" s="10"/>
      <c r="M691" s="10"/>
    </row>
    <row r="692" spans="3:13">
      <c r="C692" s="10"/>
      <c r="H692" s="10"/>
      <c r="J692" s="10"/>
      <c r="K692" s="10"/>
      <c r="L692" s="10"/>
      <c r="M692" s="10"/>
    </row>
    <row r="693" spans="3:13">
      <c r="C693" s="10"/>
      <c r="H693" s="10"/>
      <c r="J693" s="10"/>
      <c r="K693" s="10"/>
      <c r="L693" s="10"/>
      <c r="M693" s="10"/>
    </row>
    <row r="694" spans="3:13">
      <c r="C694" s="10"/>
      <c r="H694" s="10"/>
      <c r="J694" s="10"/>
      <c r="K694" s="10"/>
      <c r="L694" s="10"/>
      <c r="M694" s="10"/>
    </row>
    <row r="695" spans="3:13">
      <c r="C695" s="10"/>
      <c r="H695" s="10"/>
      <c r="J695" s="10"/>
      <c r="K695" s="10"/>
      <c r="L695" s="10"/>
      <c r="M695" s="10"/>
    </row>
    <row r="696" spans="3:13">
      <c r="C696" s="10"/>
      <c r="H696" s="10"/>
      <c r="J696" s="10"/>
      <c r="K696" s="10"/>
      <c r="L696" s="10"/>
      <c r="M696" s="10"/>
    </row>
    <row r="697" spans="3:13">
      <c r="C697" s="10"/>
      <c r="H697" s="10"/>
      <c r="J697" s="10"/>
      <c r="K697" s="10"/>
      <c r="L697" s="10"/>
      <c r="M697" s="10"/>
    </row>
    <row r="698" spans="3:13">
      <c r="C698" s="10"/>
      <c r="H698" s="10"/>
      <c r="J698" s="10"/>
      <c r="K698" s="10"/>
      <c r="L698" s="10"/>
      <c r="M698" s="10"/>
    </row>
    <row r="699" spans="3:13">
      <c r="C699" s="10"/>
      <c r="H699" s="10"/>
      <c r="J699" s="10"/>
      <c r="K699" s="10"/>
      <c r="L699" s="10"/>
      <c r="M699" s="10"/>
    </row>
    <row r="700" spans="3:13">
      <c r="C700" s="10"/>
      <c r="H700" s="10"/>
      <c r="J700" s="10"/>
      <c r="K700" s="10"/>
      <c r="L700" s="10"/>
      <c r="M700" s="10"/>
    </row>
    <row r="701" spans="3:13">
      <c r="C701" s="10"/>
      <c r="H701" s="10"/>
      <c r="J701" s="10"/>
      <c r="K701" s="10"/>
      <c r="L701" s="10"/>
      <c r="M701" s="10"/>
    </row>
    <row r="702" spans="3:13">
      <c r="C702" s="10"/>
      <c r="H702" s="10"/>
      <c r="J702" s="10"/>
      <c r="K702" s="10"/>
      <c r="L702" s="10"/>
      <c r="M702" s="10"/>
    </row>
    <row r="703" spans="3:13">
      <c r="C703" s="10"/>
      <c r="H703" s="10"/>
      <c r="J703" s="10"/>
      <c r="K703" s="10"/>
      <c r="L703" s="10"/>
      <c r="M703" s="10"/>
    </row>
    <row r="704" spans="3:13">
      <c r="C704" s="10"/>
      <c r="H704" s="10"/>
      <c r="J704" s="10"/>
      <c r="K704" s="10"/>
      <c r="L704" s="10"/>
      <c r="M704" s="10"/>
    </row>
    <row r="705" spans="3:13">
      <c r="C705" s="10"/>
      <c r="H705" s="10"/>
      <c r="J705" s="10"/>
      <c r="K705" s="10"/>
      <c r="L705" s="10"/>
      <c r="M705" s="10"/>
    </row>
    <row r="706" spans="3:13">
      <c r="C706" s="10"/>
      <c r="H706" s="10"/>
      <c r="J706" s="10"/>
      <c r="K706" s="10"/>
      <c r="L706" s="10"/>
      <c r="M706" s="10"/>
    </row>
    <row r="707" spans="3:13">
      <c r="C707" s="10"/>
      <c r="H707" s="10"/>
      <c r="J707" s="10"/>
      <c r="K707" s="10"/>
      <c r="L707" s="10"/>
      <c r="M707" s="10"/>
    </row>
    <row r="708" spans="3:13">
      <c r="C708" s="10"/>
      <c r="H708" s="10"/>
      <c r="J708" s="10"/>
      <c r="K708" s="10"/>
      <c r="L708" s="10"/>
      <c r="M708" s="10"/>
    </row>
    <row r="709" spans="3:13">
      <c r="C709" s="10"/>
      <c r="H709" s="10"/>
      <c r="J709" s="10"/>
      <c r="K709" s="10"/>
      <c r="L709" s="10"/>
      <c r="M709" s="10"/>
    </row>
    <row r="710" spans="3:13">
      <c r="C710" s="10"/>
      <c r="H710" s="10"/>
      <c r="J710" s="10"/>
      <c r="K710" s="10"/>
      <c r="L710" s="10"/>
      <c r="M710" s="10"/>
    </row>
    <row r="711" spans="3:13">
      <c r="C711" s="10"/>
      <c r="H711" s="10"/>
      <c r="J711" s="10"/>
      <c r="K711" s="10"/>
      <c r="L711" s="10"/>
      <c r="M711" s="10"/>
    </row>
    <row r="712" spans="3:13">
      <c r="C712" s="10"/>
      <c r="H712" s="10"/>
      <c r="J712" s="10"/>
      <c r="K712" s="10"/>
      <c r="L712" s="10"/>
      <c r="M712" s="10"/>
    </row>
    <row r="713" spans="3:13">
      <c r="C713" s="10"/>
      <c r="H713" s="10"/>
      <c r="J713" s="10"/>
      <c r="K713" s="10"/>
      <c r="L713" s="10"/>
      <c r="M713" s="10"/>
    </row>
    <row r="714" spans="3:13">
      <c r="C714" s="10"/>
      <c r="H714" s="10"/>
      <c r="J714" s="10"/>
      <c r="K714" s="10"/>
      <c r="L714" s="10"/>
      <c r="M714" s="10"/>
    </row>
    <row r="715" spans="3:13">
      <c r="C715" s="10"/>
      <c r="H715" s="10"/>
      <c r="J715" s="10"/>
      <c r="K715" s="10"/>
      <c r="L715" s="10"/>
      <c r="M715" s="10"/>
    </row>
    <row r="716" spans="3:13">
      <c r="C716" s="10"/>
      <c r="H716" s="10"/>
      <c r="J716" s="10"/>
      <c r="K716" s="10"/>
      <c r="L716" s="10"/>
      <c r="M716" s="10"/>
    </row>
    <row r="717" spans="3:13">
      <c r="C717" s="10"/>
      <c r="H717" s="10"/>
      <c r="J717" s="10"/>
      <c r="K717" s="10"/>
      <c r="L717" s="10"/>
      <c r="M717" s="10"/>
    </row>
    <row r="718" spans="3:13">
      <c r="C718" s="10"/>
      <c r="H718" s="10"/>
      <c r="J718" s="10"/>
      <c r="K718" s="10"/>
      <c r="L718" s="10"/>
      <c r="M718" s="10"/>
    </row>
    <row r="719" spans="3:13">
      <c r="C719" s="10"/>
      <c r="H719" s="10"/>
      <c r="J719" s="10"/>
      <c r="K719" s="10"/>
      <c r="L719" s="10"/>
      <c r="M719" s="10"/>
    </row>
    <row r="720" spans="3:13">
      <c r="C720" s="10"/>
      <c r="H720" s="10"/>
      <c r="J720" s="10"/>
      <c r="K720" s="10"/>
      <c r="L720" s="10"/>
      <c r="M720" s="10"/>
    </row>
    <row r="721" spans="3:13">
      <c r="C721" s="10"/>
      <c r="H721" s="10"/>
      <c r="J721" s="10"/>
      <c r="K721" s="10"/>
      <c r="L721" s="10"/>
      <c r="M721" s="10"/>
    </row>
    <row r="722" spans="3:13">
      <c r="C722" s="10"/>
      <c r="H722" s="10"/>
      <c r="J722" s="10"/>
      <c r="K722" s="10"/>
      <c r="L722" s="10"/>
      <c r="M722" s="10"/>
    </row>
    <row r="723" spans="3:13">
      <c r="C723" s="10"/>
      <c r="H723" s="10"/>
      <c r="J723" s="10"/>
      <c r="K723" s="10"/>
      <c r="L723" s="10"/>
      <c r="M723" s="10"/>
    </row>
    <row r="724" spans="3:13">
      <c r="C724" s="10"/>
      <c r="H724" s="10"/>
      <c r="J724" s="10"/>
      <c r="K724" s="10"/>
      <c r="L724" s="10"/>
      <c r="M724" s="10"/>
    </row>
    <row r="725" spans="3:13">
      <c r="C725" s="10"/>
      <c r="H725" s="10"/>
      <c r="J725" s="10"/>
      <c r="K725" s="10"/>
      <c r="L725" s="10"/>
      <c r="M725" s="10"/>
    </row>
    <row r="726" spans="3:13">
      <c r="C726" s="10"/>
      <c r="H726" s="10"/>
      <c r="J726" s="10"/>
      <c r="K726" s="10"/>
      <c r="L726" s="10"/>
      <c r="M726" s="10"/>
    </row>
    <row r="727" spans="3:13">
      <c r="C727" s="10"/>
      <c r="H727" s="10"/>
      <c r="J727" s="10"/>
      <c r="K727" s="10"/>
      <c r="L727" s="10"/>
      <c r="M727" s="10"/>
    </row>
    <row r="728" spans="3:13">
      <c r="C728" s="10"/>
      <c r="H728" s="10"/>
      <c r="J728" s="10"/>
      <c r="K728" s="10"/>
      <c r="L728" s="10"/>
      <c r="M728" s="10"/>
    </row>
    <row r="729" spans="3:13">
      <c r="C729" s="10"/>
      <c r="H729" s="10"/>
      <c r="J729" s="10"/>
      <c r="K729" s="10"/>
      <c r="L729" s="10"/>
      <c r="M729" s="10"/>
    </row>
    <row r="730" spans="3:13">
      <c r="C730" s="10"/>
      <c r="H730" s="10"/>
      <c r="J730" s="10"/>
      <c r="K730" s="10"/>
      <c r="L730" s="10"/>
      <c r="M730" s="10"/>
    </row>
    <row r="731" spans="3:13">
      <c r="C731" s="10"/>
      <c r="H731" s="10"/>
      <c r="J731" s="10"/>
      <c r="K731" s="10"/>
      <c r="L731" s="10"/>
      <c r="M731" s="10"/>
    </row>
    <row r="732" spans="3:13">
      <c r="C732" s="10"/>
      <c r="H732" s="10"/>
      <c r="J732" s="10"/>
      <c r="K732" s="10"/>
      <c r="L732" s="10"/>
      <c r="M732" s="10"/>
    </row>
    <row r="733" spans="3:13">
      <c r="C733" s="10"/>
      <c r="H733" s="10"/>
      <c r="J733" s="10"/>
      <c r="K733" s="10"/>
      <c r="L733" s="10"/>
      <c r="M733" s="10"/>
    </row>
    <row r="734" spans="3:13">
      <c r="C734" s="10"/>
      <c r="H734" s="10"/>
      <c r="J734" s="10"/>
      <c r="K734" s="10"/>
      <c r="L734" s="10"/>
      <c r="M734" s="10"/>
    </row>
    <row r="735" spans="3:13">
      <c r="C735" s="10"/>
      <c r="H735" s="10"/>
      <c r="J735" s="10"/>
      <c r="K735" s="10"/>
      <c r="L735" s="10"/>
      <c r="M735" s="10"/>
    </row>
    <row r="736" spans="3:13">
      <c r="C736" s="10"/>
      <c r="H736" s="10"/>
      <c r="J736" s="10"/>
      <c r="K736" s="10"/>
      <c r="L736" s="10"/>
      <c r="M736" s="10"/>
    </row>
    <row r="737" spans="3:13">
      <c r="C737" s="10"/>
      <c r="H737" s="10"/>
      <c r="J737" s="10"/>
      <c r="K737" s="10"/>
      <c r="L737" s="10"/>
      <c r="M737" s="10"/>
    </row>
    <row r="738" spans="3:13">
      <c r="C738" s="10"/>
      <c r="H738" s="10"/>
      <c r="J738" s="10"/>
      <c r="K738" s="10"/>
      <c r="L738" s="10"/>
      <c r="M738" s="10"/>
    </row>
    <row r="739" spans="3:13">
      <c r="C739" s="10"/>
      <c r="H739" s="10"/>
      <c r="J739" s="10"/>
      <c r="K739" s="10"/>
      <c r="L739" s="10"/>
      <c r="M739" s="10"/>
    </row>
    <row r="740" spans="3:13">
      <c r="C740" s="10"/>
      <c r="H740" s="10"/>
      <c r="J740" s="10"/>
      <c r="K740" s="10"/>
      <c r="L740" s="10"/>
      <c r="M740" s="10"/>
    </row>
    <row r="741" spans="3:13">
      <c r="C741" s="10"/>
      <c r="H741" s="10"/>
      <c r="J741" s="10"/>
      <c r="K741" s="10"/>
      <c r="L741" s="10"/>
      <c r="M741" s="10"/>
    </row>
    <row r="742" spans="3:13">
      <c r="C742" s="10"/>
      <c r="H742" s="10"/>
      <c r="J742" s="10"/>
      <c r="K742" s="10"/>
      <c r="L742" s="10"/>
      <c r="M742" s="10"/>
    </row>
    <row r="743" spans="3:13">
      <c r="C743" s="10"/>
      <c r="H743" s="10"/>
      <c r="J743" s="10"/>
      <c r="K743" s="10"/>
      <c r="L743" s="10"/>
      <c r="M743" s="10"/>
    </row>
    <row r="744" spans="3:13">
      <c r="C744" s="10"/>
      <c r="H744" s="10"/>
      <c r="J744" s="10"/>
      <c r="K744" s="10"/>
      <c r="L744" s="10"/>
      <c r="M744" s="10"/>
    </row>
    <row r="745" spans="3:13">
      <c r="C745" s="10"/>
      <c r="H745" s="10"/>
      <c r="J745" s="10"/>
      <c r="K745" s="10"/>
      <c r="L745" s="10"/>
      <c r="M745" s="10"/>
    </row>
    <row r="746" spans="3:13">
      <c r="C746" s="10"/>
      <c r="H746" s="10"/>
      <c r="J746" s="10"/>
      <c r="K746" s="10"/>
      <c r="L746" s="10"/>
      <c r="M746" s="10"/>
    </row>
    <row r="747" spans="3:13">
      <c r="C747" s="10"/>
      <c r="H747" s="10"/>
      <c r="J747" s="10"/>
      <c r="K747" s="10"/>
      <c r="L747" s="10"/>
      <c r="M747" s="10"/>
    </row>
    <row r="748" spans="3:13">
      <c r="C748" s="10"/>
      <c r="H748" s="10"/>
      <c r="J748" s="10"/>
      <c r="K748" s="10"/>
      <c r="L748" s="10"/>
      <c r="M748" s="10"/>
    </row>
    <row r="749" spans="3:13">
      <c r="C749" s="10"/>
      <c r="H749" s="10"/>
      <c r="J749" s="10"/>
      <c r="K749" s="10"/>
      <c r="L749" s="10"/>
      <c r="M749" s="10"/>
    </row>
    <row r="750" spans="3:13">
      <c r="C750" s="10"/>
      <c r="H750" s="10"/>
      <c r="J750" s="10"/>
      <c r="K750" s="10"/>
      <c r="L750" s="10"/>
      <c r="M750" s="10"/>
    </row>
    <row r="751" spans="3:13">
      <c r="C751" s="10"/>
      <c r="H751" s="10"/>
      <c r="J751" s="10"/>
      <c r="K751" s="10"/>
      <c r="L751" s="10"/>
      <c r="M751" s="10"/>
    </row>
    <row r="752" spans="3:13">
      <c r="C752" s="10"/>
      <c r="H752" s="10"/>
      <c r="J752" s="10"/>
      <c r="K752" s="10"/>
      <c r="L752" s="10"/>
      <c r="M752" s="10"/>
    </row>
    <row r="753" spans="3:13">
      <c r="C753" s="10"/>
      <c r="H753" s="10"/>
      <c r="J753" s="10"/>
      <c r="K753" s="10"/>
      <c r="L753" s="10"/>
      <c r="M753" s="10"/>
    </row>
    <row r="754" spans="3:13">
      <c r="C754" s="10"/>
      <c r="H754" s="10"/>
      <c r="J754" s="10"/>
      <c r="K754" s="10"/>
      <c r="L754" s="10"/>
      <c r="M754" s="10"/>
    </row>
    <row r="755" spans="3:13">
      <c r="C755" s="10"/>
      <c r="H755" s="10"/>
      <c r="J755" s="10"/>
      <c r="K755" s="10"/>
      <c r="L755" s="10"/>
      <c r="M755" s="10"/>
    </row>
    <row r="756" spans="3:13">
      <c r="C756" s="10"/>
      <c r="H756" s="10"/>
      <c r="J756" s="10"/>
      <c r="K756" s="10"/>
      <c r="L756" s="10"/>
      <c r="M756" s="10"/>
    </row>
    <row r="757" spans="3:13">
      <c r="C757" s="10"/>
      <c r="H757" s="10"/>
      <c r="J757" s="10"/>
      <c r="K757" s="10"/>
      <c r="L757" s="10"/>
      <c r="M757" s="10"/>
    </row>
    <row r="758" spans="3:13">
      <c r="C758" s="10"/>
      <c r="H758" s="10"/>
      <c r="J758" s="10"/>
      <c r="K758" s="10"/>
      <c r="L758" s="10"/>
      <c r="M758" s="10"/>
    </row>
    <row r="759" spans="3:13">
      <c r="C759" s="10"/>
      <c r="H759" s="10"/>
      <c r="J759" s="10"/>
      <c r="K759" s="10"/>
      <c r="L759" s="10"/>
      <c r="M759" s="10"/>
    </row>
    <row r="760" spans="3:13">
      <c r="C760" s="10"/>
      <c r="H760" s="10"/>
      <c r="J760" s="10"/>
      <c r="K760" s="10"/>
      <c r="L760" s="10"/>
      <c r="M760" s="10"/>
    </row>
    <row r="761" spans="3:13">
      <c r="C761" s="10"/>
      <c r="H761" s="10"/>
      <c r="J761" s="10"/>
      <c r="K761" s="10"/>
      <c r="L761" s="10"/>
      <c r="M761" s="10"/>
    </row>
    <row r="762" spans="3:13">
      <c r="C762" s="10"/>
      <c r="H762" s="10"/>
      <c r="J762" s="10"/>
      <c r="K762" s="10"/>
      <c r="L762" s="10"/>
      <c r="M762" s="10"/>
    </row>
    <row r="763" spans="3:13">
      <c r="C763" s="10"/>
      <c r="H763" s="10"/>
      <c r="J763" s="10"/>
      <c r="K763" s="10"/>
      <c r="L763" s="10"/>
      <c r="M763" s="10"/>
    </row>
    <row r="764" spans="3:13">
      <c r="C764" s="10"/>
      <c r="H764" s="10"/>
      <c r="J764" s="10"/>
      <c r="K764" s="10"/>
      <c r="L764" s="10"/>
      <c r="M764" s="10"/>
    </row>
    <row r="765" spans="3:13">
      <c r="C765" s="10"/>
      <c r="H765" s="10"/>
      <c r="J765" s="10"/>
      <c r="K765" s="10"/>
      <c r="L765" s="10"/>
      <c r="M765" s="10"/>
    </row>
    <row r="766" spans="3:13">
      <c r="C766" s="10"/>
      <c r="H766" s="10"/>
      <c r="J766" s="10"/>
      <c r="K766" s="10"/>
      <c r="L766" s="10"/>
      <c r="M766" s="10"/>
    </row>
    <row r="767" spans="3:13">
      <c r="C767" s="10"/>
      <c r="H767" s="10"/>
      <c r="J767" s="10"/>
      <c r="K767" s="10"/>
      <c r="L767" s="10"/>
      <c r="M767" s="10"/>
    </row>
    <row r="768" spans="3:13">
      <c r="C768" s="10"/>
      <c r="H768" s="10"/>
      <c r="J768" s="10"/>
      <c r="K768" s="10"/>
      <c r="L768" s="10"/>
      <c r="M768" s="10"/>
    </row>
    <row r="769" spans="3:13">
      <c r="C769" s="10"/>
      <c r="H769" s="10"/>
      <c r="J769" s="10"/>
      <c r="K769" s="10"/>
      <c r="L769" s="10"/>
      <c r="M769" s="10"/>
    </row>
    <row r="770" spans="3:13">
      <c r="C770" s="10"/>
      <c r="H770" s="10"/>
      <c r="J770" s="10"/>
      <c r="K770" s="10"/>
      <c r="L770" s="10"/>
      <c r="M770" s="10"/>
    </row>
    <row r="771" spans="3:13">
      <c r="C771" s="10"/>
      <c r="H771" s="10"/>
      <c r="J771" s="10"/>
      <c r="K771" s="10"/>
      <c r="L771" s="10"/>
      <c r="M771" s="10"/>
    </row>
    <row r="772" spans="3:13">
      <c r="C772" s="10"/>
      <c r="H772" s="10"/>
      <c r="J772" s="10"/>
      <c r="K772" s="10"/>
      <c r="L772" s="10"/>
      <c r="M772" s="10"/>
    </row>
    <row r="773" spans="3:13">
      <c r="C773" s="10"/>
      <c r="H773" s="10"/>
      <c r="J773" s="10"/>
      <c r="K773" s="10"/>
      <c r="L773" s="10"/>
      <c r="M773" s="10"/>
    </row>
    <row r="774" spans="3:13">
      <c r="C774" s="10"/>
      <c r="H774" s="10"/>
      <c r="J774" s="10"/>
      <c r="K774" s="10"/>
      <c r="L774" s="10"/>
      <c r="M774" s="10"/>
    </row>
    <row r="775" spans="3:13">
      <c r="C775" s="10"/>
      <c r="H775" s="10"/>
      <c r="J775" s="10"/>
      <c r="K775" s="10"/>
      <c r="L775" s="10"/>
      <c r="M775" s="10"/>
    </row>
    <row r="776" spans="3:13">
      <c r="C776" s="10"/>
      <c r="H776" s="10"/>
      <c r="J776" s="10"/>
      <c r="K776" s="10"/>
      <c r="L776" s="10"/>
      <c r="M776" s="10"/>
    </row>
    <row r="777" spans="3:13">
      <c r="C777" s="10"/>
      <c r="H777" s="10"/>
      <c r="J777" s="10"/>
      <c r="K777" s="10"/>
      <c r="L777" s="10"/>
      <c r="M777" s="10"/>
    </row>
    <row r="778" spans="3:13">
      <c r="C778" s="10"/>
      <c r="H778" s="10"/>
      <c r="J778" s="10"/>
      <c r="K778" s="10"/>
      <c r="L778" s="10"/>
      <c r="M778" s="10"/>
    </row>
    <row r="779" spans="3:13">
      <c r="C779" s="10"/>
      <c r="H779" s="10"/>
      <c r="J779" s="10"/>
      <c r="K779" s="10"/>
      <c r="L779" s="10"/>
      <c r="M779" s="10"/>
    </row>
    <row r="780" spans="3:13">
      <c r="C780" s="10"/>
      <c r="H780" s="10"/>
      <c r="J780" s="10"/>
      <c r="K780" s="10"/>
      <c r="L780" s="10"/>
      <c r="M780" s="10"/>
    </row>
    <row r="781" spans="3:13">
      <c r="C781" s="10"/>
      <c r="H781" s="10"/>
      <c r="J781" s="10"/>
      <c r="K781" s="10"/>
      <c r="L781" s="10"/>
      <c r="M781" s="10"/>
    </row>
    <row r="782" spans="3:13">
      <c r="C782" s="10"/>
      <c r="H782" s="10"/>
      <c r="J782" s="10"/>
      <c r="K782" s="10"/>
      <c r="L782" s="10"/>
      <c r="M782" s="10"/>
    </row>
    <row r="783" spans="3:13">
      <c r="C783" s="10"/>
      <c r="H783" s="10"/>
      <c r="J783" s="10"/>
      <c r="K783" s="10"/>
      <c r="L783" s="10"/>
      <c r="M783" s="10"/>
    </row>
    <row r="784" spans="3:13">
      <c r="C784" s="10"/>
      <c r="H784" s="10"/>
      <c r="J784" s="10"/>
      <c r="K784" s="10"/>
      <c r="L784" s="10"/>
      <c r="M784" s="10"/>
    </row>
    <row r="785" spans="3:13">
      <c r="C785" s="10"/>
      <c r="H785" s="10"/>
      <c r="J785" s="10"/>
      <c r="K785" s="10"/>
      <c r="L785" s="10"/>
      <c r="M785" s="10"/>
    </row>
    <row r="786" spans="3:13">
      <c r="C786" s="10"/>
      <c r="H786" s="10"/>
      <c r="J786" s="10"/>
      <c r="K786" s="10"/>
      <c r="L786" s="10"/>
      <c r="M786" s="10"/>
    </row>
    <row r="787" spans="3:13">
      <c r="C787" s="10"/>
      <c r="H787" s="10"/>
      <c r="J787" s="10"/>
      <c r="K787" s="10"/>
      <c r="L787" s="10"/>
      <c r="M787" s="10"/>
    </row>
    <row r="788" spans="3:13">
      <c r="C788" s="10"/>
      <c r="H788" s="10"/>
      <c r="J788" s="10"/>
      <c r="K788" s="10"/>
      <c r="L788" s="10"/>
      <c r="M788" s="10"/>
    </row>
    <row r="789" spans="3:13">
      <c r="C789" s="10"/>
      <c r="H789" s="10"/>
      <c r="J789" s="10"/>
      <c r="K789" s="10"/>
      <c r="L789" s="10"/>
      <c r="M789" s="10"/>
    </row>
    <row r="790" spans="3:13">
      <c r="C790" s="10"/>
      <c r="H790" s="10"/>
      <c r="J790" s="10"/>
      <c r="K790" s="10"/>
      <c r="L790" s="10"/>
      <c r="M790" s="10"/>
    </row>
    <row r="791" spans="3:13">
      <c r="C791" s="10"/>
      <c r="H791" s="10"/>
      <c r="J791" s="10"/>
      <c r="K791" s="10"/>
      <c r="L791" s="10"/>
      <c r="M791" s="10"/>
    </row>
    <row r="792" spans="3:13">
      <c r="C792" s="10"/>
      <c r="H792" s="10"/>
      <c r="J792" s="10"/>
      <c r="K792" s="10"/>
      <c r="L792" s="10"/>
      <c r="M792" s="10"/>
    </row>
    <row r="793" spans="3:13">
      <c r="C793" s="10"/>
      <c r="H793" s="10"/>
      <c r="J793" s="10"/>
      <c r="K793" s="10"/>
      <c r="L793" s="10"/>
      <c r="M793" s="10"/>
    </row>
    <row r="794" spans="3:13">
      <c r="C794" s="10"/>
      <c r="H794" s="10"/>
      <c r="J794" s="10"/>
      <c r="K794" s="10"/>
      <c r="L794" s="10"/>
      <c r="M794" s="10"/>
    </row>
    <row r="795" spans="3:13">
      <c r="C795" s="10"/>
      <c r="H795" s="10"/>
      <c r="J795" s="10"/>
      <c r="K795" s="10"/>
      <c r="L795" s="10"/>
      <c r="M795" s="10"/>
    </row>
    <row r="796" spans="3:13">
      <c r="C796" s="10"/>
      <c r="H796" s="10"/>
      <c r="J796" s="10"/>
      <c r="K796" s="10"/>
      <c r="L796" s="10"/>
      <c r="M796" s="10"/>
    </row>
    <row r="797" spans="3:13">
      <c r="C797" s="10"/>
      <c r="H797" s="10"/>
      <c r="J797" s="10"/>
      <c r="K797" s="10"/>
      <c r="L797" s="10"/>
      <c r="M797" s="10"/>
    </row>
    <row r="798" spans="3:13">
      <c r="C798" s="10"/>
      <c r="H798" s="10"/>
      <c r="J798" s="10"/>
      <c r="K798" s="10"/>
      <c r="L798" s="10"/>
      <c r="M798" s="10"/>
    </row>
    <row r="799" spans="3:13">
      <c r="C799" s="10"/>
      <c r="H799" s="10"/>
      <c r="J799" s="10"/>
      <c r="K799" s="10"/>
      <c r="L799" s="10"/>
      <c r="M799" s="10"/>
    </row>
    <row r="800" spans="3:13">
      <c r="C800" s="10"/>
      <c r="H800" s="10"/>
      <c r="J800" s="10"/>
      <c r="K800" s="10"/>
      <c r="L800" s="10"/>
      <c r="M800" s="10"/>
    </row>
    <row r="801" spans="3:13">
      <c r="C801" s="10"/>
      <c r="H801" s="10"/>
      <c r="J801" s="10"/>
      <c r="K801" s="10"/>
      <c r="L801" s="10"/>
      <c r="M801" s="10"/>
    </row>
    <row r="802" spans="3:13">
      <c r="C802" s="10"/>
      <c r="H802" s="10"/>
      <c r="J802" s="10"/>
      <c r="K802" s="10"/>
      <c r="L802" s="10"/>
      <c r="M802" s="10"/>
    </row>
    <row r="803" spans="3:13">
      <c r="C803" s="10"/>
      <c r="H803" s="10"/>
      <c r="J803" s="10"/>
      <c r="K803" s="10"/>
      <c r="L803" s="10"/>
      <c r="M803" s="10"/>
    </row>
    <row r="804" spans="3:13">
      <c r="C804" s="10"/>
      <c r="H804" s="10"/>
      <c r="J804" s="10"/>
      <c r="K804" s="10"/>
      <c r="L804" s="10"/>
      <c r="M804" s="10"/>
    </row>
    <row r="805" spans="3:13">
      <c r="C805" s="10"/>
      <c r="H805" s="10"/>
      <c r="J805" s="10"/>
      <c r="K805" s="10"/>
      <c r="L805" s="10"/>
      <c r="M805" s="10"/>
    </row>
    <row r="806" spans="3:13">
      <c r="C806" s="10"/>
      <c r="H806" s="10"/>
      <c r="J806" s="10"/>
      <c r="K806" s="10"/>
      <c r="L806" s="10"/>
      <c r="M806" s="10"/>
    </row>
    <row r="807" spans="3:13">
      <c r="C807" s="10"/>
      <c r="H807" s="10"/>
      <c r="J807" s="10"/>
      <c r="K807" s="10"/>
      <c r="L807" s="10"/>
      <c r="M807" s="10"/>
    </row>
    <row r="808" spans="3:13">
      <c r="C808" s="10"/>
      <c r="H808" s="10"/>
      <c r="J808" s="10"/>
      <c r="K808" s="10"/>
      <c r="L808" s="10"/>
      <c r="M808" s="10"/>
    </row>
    <row r="809" spans="3:13">
      <c r="C809" s="10"/>
      <c r="H809" s="10"/>
      <c r="J809" s="10"/>
      <c r="K809" s="10"/>
      <c r="L809" s="10"/>
      <c r="M809" s="10"/>
    </row>
    <row r="810" spans="3:13">
      <c r="C810" s="10"/>
      <c r="H810" s="10"/>
      <c r="J810" s="10"/>
      <c r="K810" s="10"/>
      <c r="L810" s="10"/>
      <c r="M810" s="10"/>
    </row>
    <row r="811" spans="3:13">
      <c r="C811" s="10"/>
      <c r="H811" s="10"/>
      <c r="J811" s="10"/>
      <c r="K811" s="10"/>
      <c r="L811" s="10"/>
      <c r="M811" s="10"/>
    </row>
    <row r="812" spans="3:13">
      <c r="C812" s="10"/>
      <c r="H812" s="10"/>
      <c r="J812" s="10"/>
      <c r="K812" s="10"/>
      <c r="L812" s="10"/>
      <c r="M812" s="10"/>
    </row>
    <row r="813" spans="3:13">
      <c r="C813" s="10"/>
      <c r="H813" s="10"/>
      <c r="J813" s="10"/>
      <c r="K813" s="10"/>
      <c r="L813" s="10"/>
      <c r="M813" s="10"/>
    </row>
    <row r="814" spans="3:13">
      <c r="C814" s="10"/>
      <c r="H814" s="10"/>
      <c r="J814" s="10"/>
      <c r="K814" s="10"/>
      <c r="L814" s="10"/>
      <c r="M814" s="10"/>
    </row>
    <row r="815" spans="3:13">
      <c r="C815" s="10"/>
      <c r="H815" s="10"/>
      <c r="J815" s="10"/>
      <c r="K815" s="10"/>
      <c r="L815" s="10"/>
      <c r="M815" s="10"/>
    </row>
    <row r="816" spans="3:13">
      <c r="C816" s="10"/>
      <c r="H816" s="10"/>
      <c r="J816" s="10"/>
      <c r="K816" s="10"/>
      <c r="L816" s="10"/>
      <c r="M816" s="10"/>
    </row>
    <row r="817" spans="3:13">
      <c r="C817" s="10"/>
      <c r="H817" s="10"/>
      <c r="J817" s="10"/>
      <c r="K817" s="10"/>
      <c r="L817" s="10"/>
      <c r="M817" s="10"/>
    </row>
    <row r="818" spans="3:13">
      <c r="C818" s="10"/>
      <c r="H818" s="10"/>
      <c r="J818" s="10"/>
      <c r="K818" s="10"/>
      <c r="L818" s="10"/>
      <c r="M818" s="10"/>
    </row>
    <row r="819" spans="3:13">
      <c r="C819" s="10"/>
      <c r="H819" s="10"/>
      <c r="J819" s="10"/>
      <c r="K819" s="10"/>
      <c r="L819" s="10"/>
      <c r="M819" s="10"/>
    </row>
    <row r="820" spans="3:13">
      <c r="C820" s="10"/>
      <c r="H820" s="10"/>
      <c r="J820" s="10"/>
      <c r="K820" s="10"/>
      <c r="L820" s="10"/>
      <c r="M820" s="10"/>
    </row>
    <row r="821" spans="3:13">
      <c r="C821" s="10"/>
      <c r="H821" s="10"/>
      <c r="J821" s="10"/>
      <c r="K821" s="10"/>
      <c r="L821" s="10"/>
      <c r="M821" s="10"/>
    </row>
    <row r="822" spans="3:13">
      <c r="C822" s="10"/>
      <c r="H822" s="10"/>
      <c r="J822" s="10"/>
      <c r="K822" s="10"/>
      <c r="L822" s="10"/>
      <c r="M822" s="10"/>
    </row>
    <row r="823" spans="3:13">
      <c r="C823" s="10"/>
      <c r="H823" s="10"/>
      <c r="J823" s="10"/>
      <c r="K823" s="10"/>
      <c r="L823" s="10"/>
      <c r="M823" s="10"/>
    </row>
    <row r="824" spans="3:13">
      <c r="C824" s="10"/>
      <c r="H824" s="10"/>
      <c r="J824" s="10"/>
      <c r="K824" s="10"/>
      <c r="L824" s="10"/>
      <c r="M824" s="10"/>
    </row>
    <row r="825" spans="3:13">
      <c r="C825" s="10"/>
      <c r="H825" s="10"/>
      <c r="J825" s="10"/>
      <c r="K825" s="10"/>
      <c r="L825" s="10"/>
      <c r="M825" s="10"/>
    </row>
    <row r="826" spans="3:13">
      <c r="C826" s="10"/>
      <c r="H826" s="10"/>
      <c r="J826" s="10"/>
      <c r="K826" s="10"/>
      <c r="L826" s="10"/>
      <c r="M826" s="10"/>
    </row>
    <row r="827" spans="3:13">
      <c r="C827" s="10"/>
      <c r="H827" s="10"/>
      <c r="J827" s="10"/>
      <c r="K827" s="10"/>
      <c r="L827" s="10"/>
      <c r="M827" s="10"/>
    </row>
    <row r="828" spans="3:13">
      <c r="C828" s="10"/>
      <c r="H828" s="10"/>
      <c r="J828" s="10"/>
      <c r="K828" s="10"/>
      <c r="L828" s="10"/>
      <c r="M828" s="10"/>
    </row>
    <row r="829" spans="3:13">
      <c r="C829" s="10"/>
      <c r="H829" s="10"/>
      <c r="J829" s="10"/>
      <c r="K829" s="10"/>
      <c r="L829" s="10"/>
      <c r="M829" s="10"/>
    </row>
    <row r="830" spans="3:13">
      <c r="C830" s="10"/>
      <c r="H830" s="10"/>
      <c r="J830" s="10"/>
      <c r="K830" s="10"/>
      <c r="L830" s="10"/>
      <c r="M830" s="10"/>
    </row>
    <row r="831" spans="3:13">
      <c r="C831" s="10"/>
      <c r="H831" s="10"/>
      <c r="J831" s="10"/>
      <c r="K831" s="10"/>
      <c r="L831" s="10"/>
      <c r="M831" s="10"/>
    </row>
    <row r="832" spans="3:13">
      <c r="C832" s="10"/>
      <c r="H832" s="10"/>
      <c r="J832" s="10"/>
      <c r="K832" s="10"/>
      <c r="L832" s="10"/>
      <c r="M832" s="10"/>
    </row>
    <row r="833" spans="3:13">
      <c r="C833" s="10"/>
      <c r="H833" s="10"/>
      <c r="J833" s="10"/>
      <c r="K833" s="10"/>
      <c r="L833" s="10"/>
      <c r="M833" s="10"/>
    </row>
    <row r="834" spans="3:13">
      <c r="C834" s="10"/>
      <c r="H834" s="10"/>
      <c r="J834" s="10"/>
      <c r="K834" s="10"/>
      <c r="L834" s="10"/>
      <c r="M834" s="10"/>
    </row>
    <row r="835" spans="3:13">
      <c r="C835" s="10"/>
      <c r="H835" s="10"/>
      <c r="J835" s="10"/>
      <c r="K835" s="10"/>
      <c r="L835" s="10"/>
      <c r="M835" s="10"/>
    </row>
    <row r="836" spans="3:13">
      <c r="C836" s="10"/>
      <c r="H836" s="10"/>
      <c r="J836" s="10"/>
      <c r="K836" s="10"/>
      <c r="L836" s="10"/>
      <c r="M836" s="10"/>
    </row>
    <row r="837" spans="3:13">
      <c r="C837" s="10"/>
      <c r="H837" s="10"/>
      <c r="J837" s="10"/>
      <c r="K837" s="10"/>
      <c r="L837" s="10"/>
      <c r="M837" s="10"/>
    </row>
    <row r="838" spans="3:13">
      <c r="C838" s="10"/>
      <c r="H838" s="10"/>
      <c r="J838" s="10"/>
      <c r="K838" s="10"/>
      <c r="L838" s="10"/>
      <c r="M838" s="10"/>
    </row>
    <row r="839" spans="3:13">
      <c r="C839" s="10"/>
      <c r="H839" s="10"/>
      <c r="J839" s="10"/>
      <c r="K839" s="10"/>
      <c r="L839" s="10"/>
      <c r="M839" s="10"/>
    </row>
    <row r="840" spans="3:13">
      <c r="C840" s="10"/>
      <c r="H840" s="10"/>
      <c r="J840" s="10"/>
      <c r="K840" s="10"/>
      <c r="L840" s="10"/>
      <c r="M840" s="10"/>
    </row>
    <row r="841" spans="3:13">
      <c r="C841" s="10"/>
      <c r="H841" s="10"/>
      <c r="J841" s="10"/>
      <c r="K841" s="10"/>
      <c r="L841" s="10"/>
      <c r="M841" s="10"/>
    </row>
    <row r="842" spans="3:13">
      <c r="C842" s="10"/>
      <c r="H842" s="10"/>
      <c r="J842" s="10"/>
      <c r="K842" s="10"/>
      <c r="L842" s="10"/>
      <c r="M842" s="10"/>
    </row>
    <row r="843" spans="3:13">
      <c r="C843" s="10"/>
      <c r="H843" s="10"/>
      <c r="J843" s="10"/>
      <c r="K843" s="10"/>
      <c r="L843" s="10"/>
      <c r="M843" s="10"/>
    </row>
    <row r="844" spans="3:13">
      <c r="C844" s="10"/>
      <c r="H844" s="10"/>
      <c r="J844" s="10"/>
      <c r="K844" s="10"/>
      <c r="L844" s="10"/>
      <c r="M844" s="10"/>
    </row>
    <row r="845" spans="3:13">
      <c r="C845" s="10"/>
      <c r="H845" s="10"/>
      <c r="J845" s="10"/>
      <c r="K845" s="10"/>
      <c r="L845" s="10"/>
      <c r="M845" s="10"/>
    </row>
    <row r="846" spans="3:13">
      <c r="C846" s="10"/>
      <c r="H846" s="10"/>
      <c r="J846" s="10"/>
      <c r="K846" s="10"/>
      <c r="L846" s="10"/>
      <c r="M846" s="10"/>
    </row>
    <row r="847" spans="3:13">
      <c r="C847" s="10"/>
      <c r="H847" s="10"/>
      <c r="J847" s="10"/>
      <c r="K847" s="10"/>
      <c r="L847" s="10"/>
      <c r="M847" s="10"/>
    </row>
    <row r="848" spans="3:13">
      <c r="C848" s="10"/>
      <c r="H848" s="10"/>
      <c r="J848" s="10"/>
      <c r="K848" s="10"/>
      <c r="L848" s="10"/>
      <c r="M848" s="10"/>
    </row>
    <row r="849" spans="3:13">
      <c r="C849" s="10"/>
      <c r="H849" s="10"/>
      <c r="J849" s="10"/>
      <c r="K849" s="10"/>
      <c r="L849" s="10"/>
      <c r="M849" s="10"/>
    </row>
    <row r="850" spans="3:13">
      <c r="C850" s="10"/>
      <c r="H850" s="10"/>
      <c r="J850" s="10"/>
      <c r="K850" s="10"/>
      <c r="L850" s="10"/>
      <c r="M850" s="10"/>
    </row>
    <row r="851" spans="3:13">
      <c r="C851" s="10"/>
      <c r="H851" s="10"/>
      <c r="J851" s="10"/>
      <c r="K851" s="10"/>
      <c r="L851" s="10"/>
      <c r="M851" s="10"/>
    </row>
    <row r="852" spans="3:13">
      <c r="C852" s="10"/>
      <c r="H852" s="10"/>
      <c r="J852" s="10"/>
      <c r="K852" s="10"/>
      <c r="L852" s="10"/>
      <c r="M852" s="10"/>
    </row>
    <row r="853" spans="3:13">
      <c r="C853" s="10"/>
      <c r="H853" s="10"/>
      <c r="J853" s="10"/>
      <c r="K853" s="10"/>
      <c r="L853" s="10"/>
      <c r="M853" s="10"/>
    </row>
    <row r="854" spans="3:13">
      <c r="C854" s="10"/>
      <c r="H854" s="10"/>
      <c r="J854" s="10"/>
      <c r="K854" s="10"/>
      <c r="L854" s="10"/>
      <c r="M854" s="10"/>
    </row>
    <row r="855" spans="3:13">
      <c r="C855" s="10"/>
      <c r="H855" s="10"/>
      <c r="J855" s="10"/>
      <c r="K855" s="10"/>
      <c r="L855" s="10"/>
      <c r="M855" s="10"/>
    </row>
    <row r="856" spans="3:13">
      <c r="C856" s="10"/>
      <c r="H856" s="10"/>
      <c r="J856" s="10"/>
      <c r="K856" s="10"/>
      <c r="L856" s="10"/>
      <c r="M856" s="10"/>
    </row>
    <row r="857" spans="3:13">
      <c r="C857" s="10"/>
      <c r="H857" s="10"/>
      <c r="J857" s="10"/>
      <c r="K857" s="10"/>
      <c r="L857" s="10"/>
      <c r="M857" s="10"/>
    </row>
    <row r="858" spans="3:13">
      <c r="C858" s="10"/>
      <c r="H858" s="10"/>
      <c r="J858" s="10"/>
      <c r="K858" s="10"/>
      <c r="L858" s="10"/>
      <c r="M858" s="10"/>
    </row>
    <row r="859" spans="3:13">
      <c r="C859" s="10"/>
      <c r="H859" s="10"/>
      <c r="J859" s="10"/>
      <c r="K859" s="10"/>
      <c r="L859" s="10"/>
      <c r="M859" s="10"/>
    </row>
    <row r="860" spans="3:13">
      <c r="C860" s="10"/>
      <c r="H860" s="10"/>
      <c r="J860" s="10"/>
      <c r="K860" s="10"/>
      <c r="L860" s="10"/>
      <c r="M860" s="10"/>
    </row>
    <row r="861" spans="3:13">
      <c r="C861" s="10"/>
      <c r="H861" s="10"/>
      <c r="J861" s="10"/>
      <c r="K861" s="10"/>
      <c r="L861" s="10"/>
      <c r="M861" s="10"/>
    </row>
    <row r="862" spans="3:13">
      <c r="C862" s="10"/>
      <c r="H862" s="10"/>
      <c r="J862" s="10"/>
      <c r="K862" s="10"/>
      <c r="L862" s="10"/>
      <c r="M862" s="10"/>
    </row>
    <row r="863" spans="3:13">
      <c r="C863" s="10"/>
      <c r="H863" s="10"/>
      <c r="J863" s="10"/>
      <c r="K863" s="10"/>
      <c r="L863" s="10"/>
      <c r="M863" s="10"/>
    </row>
    <row r="864" spans="3:13">
      <c r="C864" s="10"/>
      <c r="H864" s="10"/>
      <c r="J864" s="10"/>
      <c r="K864" s="10"/>
      <c r="L864" s="10"/>
      <c r="M864" s="10"/>
    </row>
    <row r="865" spans="3:13">
      <c r="C865" s="10"/>
      <c r="H865" s="10"/>
      <c r="J865" s="10"/>
      <c r="K865" s="10"/>
      <c r="L865" s="10"/>
      <c r="M865" s="10"/>
    </row>
    <row r="866" spans="3:13">
      <c r="C866" s="10"/>
      <c r="H866" s="10"/>
      <c r="J866" s="10"/>
      <c r="K866" s="10"/>
      <c r="L866" s="10"/>
      <c r="M866" s="10"/>
    </row>
    <row r="867" spans="3:13">
      <c r="C867" s="10"/>
      <c r="H867" s="10"/>
      <c r="J867" s="10"/>
      <c r="K867" s="10"/>
      <c r="L867" s="10"/>
      <c r="M867" s="10"/>
    </row>
    <row r="868" spans="3:13">
      <c r="C868" s="10"/>
      <c r="H868" s="10"/>
      <c r="J868" s="10"/>
      <c r="K868" s="10"/>
      <c r="L868" s="10"/>
      <c r="M868" s="10"/>
    </row>
    <row r="869" spans="3:13">
      <c r="C869" s="10"/>
      <c r="H869" s="10"/>
      <c r="J869" s="10"/>
      <c r="K869" s="10"/>
      <c r="L869" s="10"/>
      <c r="M869" s="10"/>
    </row>
    <row r="870" spans="3:13">
      <c r="C870" s="10"/>
      <c r="H870" s="10"/>
      <c r="J870" s="10"/>
      <c r="K870" s="10"/>
      <c r="L870" s="10"/>
      <c r="M870" s="10"/>
    </row>
    <row r="871" spans="3:13">
      <c r="C871" s="10"/>
      <c r="H871" s="10"/>
      <c r="J871" s="10"/>
      <c r="K871" s="10"/>
      <c r="L871" s="10"/>
      <c r="M871" s="10"/>
    </row>
    <row r="872" spans="3:13">
      <c r="C872" s="10"/>
      <c r="H872" s="10"/>
      <c r="J872" s="10"/>
      <c r="K872" s="10"/>
      <c r="L872" s="10"/>
      <c r="M872" s="10"/>
    </row>
    <row r="873" spans="3:13">
      <c r="C873" s="10"/>
      <c r="H873" s="10"/>
      <c r="J873" s="10"/>
      <c r="K873" s="10"/>
      <c r="L873" s="10"/>
      <c r="M873" s="10"/>
    </row>
    <row r="874" spans="3:13">
      <c r="C874" s="10"/>
      <c r="H874" s="10"/>
      <c r="J874" s="10"/>
      <c r="K874" s="10"/>
      <c r="L874" s="10"/>
      <c r="M874" s="10"/>
    </row>
    <row r="875" spans="3:13">
      <c r="C875" s="10"/>
      <c r="H875" s="10"/>
      <c r="J875" s="10"/>
      <c r="K875" s="10"/>
      <c r="L875" s="10"/>
      <c r="M875" s="10"/>
    </row>
    <row r="876" spans="3:13">
      <c r="C876" s="10"/>
      <c r="H876" s="10"/>
      <c r="J876" s="10"/>
      <c r="K876" s="10"/>
      <c r="L876" s="10"/>
      <c r="M876" s="10"/>
    </row>
    <row r="877" spans="3:13">
      <c r="C877" s="10"/>
      <c r="H877" s="10"/>
      <c r="J877" s="10"/>
      <c r="K877" s="10"/>
      <c r="L877" s="10"/>
      <c r="M877" s="10"/>
    </row>
    <row r="878" spans="3:13">
      <c r="C878" s="10"/>
      <c r="H878" s="10"/>
      <c r="J878" s="10"/>
      <c r="K878" s="10"/>
      <c r="L878" s="10"/>
      <c r="M878" s="10"/>
    </row>
    <row r="879" spans="3:13">
      <c r="C879" s="10"/>
      <c r="H879" s="10"/>
      <c r="J879" s="10"/>
      <c r="K879" s="10"/>
      <c r="L879" s="10"/>
      <c r="M879" s="10"/>
    </row>
    <row r="880" spans="3:13">
      <c r="C880" s="10"/>
      <c r="H880" s="10"/>
      <c r="J880" s="10"/>
      <c r="K880" s="10"/>
      <c r="L880" s="10"/>
      <c r="M880" s="10"/>
    </row>
    <row r="881" spans="3:13">
      <c r="C881" s="10"/>
      <c r="H881" s="10"/>
      <c r="J881" s="10"/>
      <c r="K881" s="10"/>
      <c r="L881" s="10"/>
      <c r="M881" s="10"/>
    </row>
    <row r="882" spans="3:13">
      <c r="C882" s="10"/>
      <c r="H882" s="10"/>
      <c r="J882" s="10"/>
      <c r="K882" s="10"/>
      <c r="L882" s="10"/>
      <c r="M882" s="10"/>
    </row>
    <row r="883" spans="3:13">
      <c r="C883" s="10"/>
      <c r="H883" s="10"/>
      <c r="J883" s="10"/>
      <c r="K883" s="10"/>
      <c r="L883" s="10"/>
      <c r="M883" s="10"/>
    </row>
    <row r="884" spans="3:13">
      <c r="C884" s="10"/>
      <c r="H884" s="10"/>
      <c r="J884" s="10"/>
      <c r="K884" s="10"/>
      <c r="L884" s="10"/>
      <c r="M884" s="10"/>
    </row>
    <row r="885" spans="3:13">
      <c r="C885" s="10"/>
      <c r="H885" s="10"/>
      <c r="J885" s="10"/>
      <c r="K885" s="10"/>
      <c r="L885" s="10"/>
      <c r="M885" s="10"/>
    </row>
    <row r="886" spans="3:13">
      <c r="C886" s="10"/>
      <c r="H886" s="10"/>
      <c r="J886" s="10"/>
      <c r="K886" s="10"/>
      <c r="L886" s="10"/>
      <c r="M886" s="10"/>
    </row>
    <row r="887" spans="3:13">
      <c r="C887" s="10"/>
      <c r="H887" s="10"/>
      <c r="J887" s="10"/>
      <c r="K887" s="10"/>
      <c r="L887" s="10"/>
      <c r="M887" s="10"/>
    </row>
    <row r="888" spans="3:13">
      <c r="C888" s="10"/>
      <c r="H888" s="10"/>
      <c r="J888" s="10"/>
      <c r="K888" s="10"/>
      <c r="L888" s="10"/>
      <c r="M888" s="10"/>
    </row>
    <row r="889" spans="3:13">
      <c r="C889" s="10"/>
      <c r="H889" s="10"/>
      <c r="J889" s="10"/>
      <c r="K889" s="10"/>
      <c r="L889" s="10"/>
      <c r="M889" s="10"/>
    </row>
    <row r="890" spans="3:13">
      <c r="C890" s="10"/>
      <c r="H890" s="10"/>
      <c r="J890" s="10"/>
      <c r="K890" s="10"/>
      <c r="L890" s="10"/>
      <c r="M890" s="10"/>
    </row>
    <row r="891" spans="3:13">
      <c r="C891" s="10"/>
      <c r="H891" s="10"/>
      <c r="J891" s="10"/>
      <c r="K891" s="10"/>
      <c r="L891" s="10"/>
      <c r="M891" s="10"/>
    </row>
    <row r="892" spans="3:13">
      <c r="C892" s="10"/>
      <c r="H892" s="10"/>
      <c r="J892" s="10"/>
      <c r="K892" s="10"/>
      <c r="L892" s="10"/>
      <c r="M892" s="10"/>
    </row>
    <row r="893" spans="3:13">
      <c r="C893" s="10"/>
      <c r="H893" s="10"/>
      <c r="J893" s="10"/>
      <c r="K893" s="10"/>
      <c r="L893" s="10"/>
      <c r="M893" s="10"/>
    </row>
    <row r="894" spans="3:13">
      <c r="C894" s="10"/>
      <c r="H894" s="10"/>
      <c r="J894" s="10"/>
      <c r="K894" s="10"/>
      <c r="L894" s="10"/>
      <c r="M894" s="10"/>
    </row>
    <row r="895" spans="3:13">
      <c r="C895" s="10"/>
      <c r="H895" s="10"/>
      <c r="J895" s="10"/>
      <c r="K895" s="10"/>
      <c r="L895" s="10"/>
      <c r="M895" s="10"/>
    </row>
    <row r="896" spans="3:13">
      <c r="C896" s="10"/>
      <c r="H896" s="10"/>
      <c r="J896" s="10"/>
      <c r="K896" s="10"/>
      <c r="L896" s="10"/>
      <c r="M896" s="10"/>
    </row>
    <row r="897" spans="3:13">
      <c r="C897" s="10"/>
      <c r="H897" s="10"/>
      <c r="J897" s="10"/>
      <c r="K897" s="10"/>
      <c r="L897" s="10"/>
      <c r="M897" s="10"/>
    </row>
    <row r="898" spans="3:13">
      <c r="C898" s="10"/>
      <c r="H898" s="10"/>
      <c r="J898" s="10"/>
      <c r="K898" s="10"/>
      <c r="L898" s="10"/>
      <c r="M898" s="10"/>
    </row>
    <row r="899" spans="3:13">
      <c r="C899" s="10"/>
      <c r="H899" s="10"/>
      <c r="J899" s="10"/>
      <c r="K899" s="10"/>
      <c r="L899" s="10"/>
      <c r="M899" s="10"/>
    </row>
    <row r="900" spans="3:13">
      <c r="C900" s="10"/>
      <c r="H900" s="10"/>
      <c r="J900" s="10"/>
      <c r="K900" s="10"/>
      <c r="L900" s="10"/>
      <c r="M900" s="10"/>
    </row>
    <row r="901" spans="3:13">
      <c r="C901" s="10"/>
      <c r="H901" s="10"/>
      <c r="J901" s="10"/>
      <c r="K901" s="10"/>
      <c r="L901" s="10"/>
      <c r="M901" s="10"/>
    </row>
    <row r="902" spans="3:13">
      <c r="C902" s="10"/>
      <c r="H902" s="10"/>
      <c r="J902" s="10"/>
      <c r="K902" s="10"/>
      <c r="L902" s="10"/>
      <c r="M902" s="10"/>
    </row>
    <row r="903" spans="3:13">
      <c r="C903" s="10"/>
      <c r="H903" s="10"/>
      <c r="J903" s="10"/>
      <c r="K903" s="10"/>
      <c r="L903" s="10"/>
      <c r="M903" s="10"/>
    </row>
    <row r="904" spans="3:13">
      <c r="C904" s="10"/>
      <c r="H904" s="10"/>
      <c r="J904" s="10"/>
      <c r="K904" s="10"/>
      <c r="L904" s="10"/>
      <c r="M904" s="10"/>
    </row>
    <row r="905" spans="3:13">
      <c r="C905" s="10"/>
      <c r="H905" s="10"/>
      <c r="J905" s="10"/>
      <c r="K905" s="10"/>
      <c r="L905" s="10"/>
      <c r="M905" s="10"/>
    </row>
    <row r="906" spans="3:13">
      <c r="C906" s="10"/>
      <c r="H906" s="10"/>
      <c r="J906" s="10"/>
      <c r="K906" s="10"/>
      <c r="L906" s="10"/>
      <c r="M906" s="10"/>
    </row>
    <row r="907" spans="3:13">
      <c r="C907" s="10"/>
      <c r="H907" s="10"/>
      <c r="J907" s="10"/>
      <c r="K907" s="10"/>
      <c r="L907" s="10"/>
      <c r="M907" s="10"/>
    </row>
    <row r="908" spans="3:13">
      <c r="C908" s="10"/>
      <c r="H908" s="10"/>
      <c r="J908" s="10"/>
      <c r="K908" s="10"/>
      <c r="L908" s="10"/>
      <c r="M908" s="10"/>
    </row>
    <row r="909" spans="3:13">
      <c r="C909" s="10"/>
      <c r="H909" s="10"/>
      <c r="J909" s="10"/>
      <c r="K909" s="10"/>
      <c r="L909" s="10"/>
      <c r="M909" s="10"/>
    </row>
    <row r="910" spans="3:13">
      <c r="C910" s="10"/>
      <c r="H910" s="10"/>
      <c r="J910" s="10"/>
      <c r="K910" s="10"/>
      <c r="L910" s="10"/>
      <c r="M910" s="10"/>
    </row>
    <row r="911" spans="3:13">
      <c r="C911" s="10"/>
      <c r="H911" s="10"/>
      <c r="J911" s="10"/>
      <c r="K911" s="10"/>
      <c r="L911" s="10"/>
      <c r="M911" s="10"/>
    </row>
    <row r="912" spans="3:13">
      <c r="C912" s="10"/>
      <c r="H912" s="10"/>
      <c r="J912" s="10"/>
      <c r="K912" s="10"/>
      <c r="L912" s="10"/>
      <c r="M912" s="10"/>
    </row>
    <row r="913" spans="3:13">
      <c r="C913" s="10"/>
      <c r="H913" s="10"/>
      <c r="J913" s="10"/>
      <c r="K913" s="10"/>
      <c r="L913" s="10"/>
      <c r="M913" s="10"/>
    </row>
    <row r="914" spans="3:13">
      <c r="C914" s="10"/>
      <c r="H914" s="10"/>
      <c r="J914" s="10"/>
      <c r="K914" s="10"/>
      <c r="L914" s="10"/>
      <c r="M914" s="10"/>
    </row>
    <row r="915" spans="3:13">
      <c r="C915" s="10"/>
      <c r="H915" s="10"/>
      <c r="J915" s="10"/>
      <c r="K915" s="10"/>
      <c r="L915" s="10"/>
      <c r="M915" s="10"/>
    </row>
    <row r="916" spans="3:13">
      <c r="C916" s="10"/>
      <c r="H916" s="10"/>
      <c r="J916" s="10"/>
      <c r="K916" s="10"/>
      <c r="L916" s="10"/>
      <c r="M916" s="10"/>
    </row>
    <row r="917" spans="3:13">
      <c r="C917" s="10"/>
      <c r="H917" s="10"/>
      <c r="J917" s="10"/>
      <c r="K917" s="10"/>
      <c r="L917" s="10"/>
      <c r="M917" s="10"/>
    </row>
    <row r="918" spans="3:13">
      <c r="C918" s="10"/>
      <c r="H918" s="10"/>
      <c r="J918" s="10"/>
      <c r="K918" s="10"/>
      <c r="L918" s="10"/>
      <c r="M918" s="10"/>
    </row>
    <row r="919" spans="3:13">
      <c r="C919" s="10"/>
      <c r="H919" s="10"/>
      <c r="J919" s="10"/>
      <c r="K919" s="10"/>
      <c r="L919" s="10"/>
      <c r="M919" s="10"/>
    </row>
    <row r="920" spans="3:13">
      <c r="C920" s="10"/>
      <c r="H920" s="10"/>
      <c r="J920" s="10"/>
      <c r="K920" s="10"/>
      <c r="L920" s="10"/>
      <c r="M920" s="10"/>
    </row>
    <row r="921" spans="3:13">
      <c r="C921" s="10"/>
      <c r="H921" s="10"/>
      <c r="J921" s="10"/>
      <c r="K921" s="10"/>
      <c r="L921" s="10"/>
      <c r="M921" s="10"/>
    </row>
    <row r="922" spans="3:13">
      <c r="C922" s="10"/>
      <c r="H922" s="10"/>
      <c r="J922" s="10"/>
      <c r="K922" s="10"/>
      <c r="L922" s="10"/>
      <c r="M922" s="10"/>
    </row>
    <row r="923" spans="3:13">
      <c r="C923" s="10"/>
      <c r="H923" s="10"/>
      <c r="J923" s="10"/>
      <c r="K923" s="10"/>
      <c r="L923" s="10"/>
      <c r="M923" s="10"/>
    </row>
    <row r="924" spans="3:13">
      <c r="C924" s="10"/>
      <c r="H924" s="10"/>
      <c r="J924" s="10"/>
      <c r="K924" s="10"/>
      <c r="L924" s="10"/>
      <c r="M924" s="10"/>
    </row>
    <row r="925" spans="3:13">
      <c r="C925" s="10"/>
      <c r="H925" s="10"/>
      <c r="J925" s="10"/>
      <c r="K925" s="10"/>
      <c r="L925" s="10"/>
      <c r="M925" s="10"/>
    </row>
    <row r="926" spans="3:13">
      <c r="C926" s="10"/>
      <c r="H926" s="10"/>
      <c r="J926" s="10"/>
      <c r="K926" s="10"/>
      <c r="L926" s="10"/>
      <c r="M926" s="10"/>
    </row>
    <row r="927" spans="3:13">
      <c r="C927" s="10"/>
      <c r="H927" s="10"/>
      <c r="J927" s="10"/>
      <c r="K927" s="10"/>
      <c r="L927" s="10"/>
      <c r="M927" s="10"/>
    </row>
    <row r="928" spans="3:13">
      <c r="C928" s="10"/>
      <c r="H928" s="10"/>
      <c r="J928" s="10"/>
      <c r="K928" s="10"/>
      <c r="L928" s="10"/>
      <c r="M928" s="10"/>
    </row>
    <row r="929" spans="3:13">
      <c r="C929" s="10"/>
      <c r="H929" s="10"/>
      <c r="J929" s="10"/>
      <c r="K929" s="10"/>
      <c r="L929" s="10"/>
      <c r="M929" s="10"/>
    </row>
    <row r="930" spans="3:13">
      <c r="C930" s="10"/>
      <c r="H930" s="10"/>
      <c r="J930" s="10"/>
      <c r="K930" s="10"/>
      <c r="L930" s="10"/>
      <c r="M930" s="10"/>
    </row>
    <row r="931" spans="3:13">
      <c r="C931" s="10"/>
      <c r="H931" s="10"/>
      <c r="J931" s="10"/>
      <c r="K931" s="10"/>
      <c r="L931" s="10"/>
      <c r="M931" s="10"/>
    </row>
    <row r="932" spans="3:13">
      <c r="C932" s="10"/>
      <c r="H932" s="10"/>
      <c r="J932" s="10"/>
      <c r="K932" s="10"/>
      <c r="L932" s="10"/>
      <c r="M932" s="10"/>
    </row>
    <row r="933" spans="3:13">
      <c r="C933" s="10"/>
      <c r="H933" s="10"/>
      <c r="J933" s="10"/>
      <c r="K933" s="10"/>
      <c r="L933" s="10"/>
      <c r="M933" s="10"/>
    </row>
    <row r="934" spans="3:13">
      <c r="C934" s="10"/>
      <c r="H934" s="10"/>
      <c r="J934" s="10"/>
      <c r="K934" s="10"/>
      <c r="L934" s="10"/>
      <c r="M934" s="10"/>
    </row>
    <row r="935" spans="3:13">
      <c r="C935" s="10"/>
      <c r="H935" s="10"/>
      <c r="J935" s="10"/>
      <c r="K935" s="10"/>
      <c r="L935" s="10"/>
      <c r="M935" s="10"/>
    </row>
    <row r="936" spans="3:13">
      <c r="C936" s="10"/>
      <c r="H936" s="10"/>
      <c r="J936" s="10"/>
      <c r="K936" s="10"/>
      <c r="L936" s="10"/>
      <c r="M936" s="10"/>
    </row>
    <row r="937" spans="3:13">
      <c r="C937" s="10"/>
      <c r="H937" s="10"/>
      <c r="J937" s="10"/>
      <c r="K937" s="10"/>
      <c r="L937" s="10"/>
      <c r="M937" s="10"/>
    </row>
    <row r="938" spans="3:13">
      <c r="C938" s="10"/>
      <c r="H938" s="10"/>
      <c r="J938" s="10"/>
      <c r="K938" s="10"/>
      <c r="L938" s="10"/>
      <c r="M938" s="10"/>
    </row>
    <row r="939" spans="3:13">
      <c r="C939" s="10"/>
      <c r="H939" s="10"/>
      <c r="J939" s="10"/>
      <c r="K939" s="10"/>
      <c r="L939" s="10"/>
      <c r="M939" s="10"/>
    </row>
    <row r="940" spans="3:13">
      <c r="C940" s="10"/>
      <c r="H940" s="10"/>
      <c r="J940" s="10"/>
      <c r="K940" s="10"/>
      <c r="L940" s="10"/>
      <c r="M940" s="10"/>
    </row>
    <row r="941" spans="3:13">
      <c r="C941" s="10"/>
      <c r="H941" s="10"/>
      <c r="J941" s="10"/>
      <c r="K941" s="10"/>
      <c r="L941" s="10"/>
      <c r="M941" s="10"/>
    </row>
    <row r="942" spans="3:13">
      <c r="C942" s="10"/>
      <c r="H942" s="10"/>
      <c r="J942" s="10"/>
      <c r="K942" s="10"/>
      <c r="L942" s="10"/>
      <c r="M942" s="10"/>
    </row>
    <row r="943" spans="3:13">
      <c r="C943" s="10"/>
      <c r="H943" s="10"/>
      <c r="J943" s="10"/>
      <c r="K943" s="10"/>
      <c r="L943" s="10"/>
      <c r="M943" s="10"/>
    </row>
    <row r="944" spans="3:13">
      <c r="C944" s="10"/>
      <c r="H944" s="10"/>
      <c r="J944" s="10"/>
      <c r="K944" s="10"/>
      <c r="L944" s="10"/>
      <c r="M944" s="10"/>
    </row>
    <row r="945" spans="3:13">
      <c r="C945" s="10"/>
      <c r="H945" s="10"/>
      <c r="J945" s="10"/>
      <c r="K945" s="10"/>
      <c r="L945" s="10"/>
      <c r="M945" s="10"/>
    </row>
    <row r="946" spans="3:13">
      <c r="C946" s="10"/>
      <c r="H946" s="10"/>
      <c r="J946" s="10"/>
      <c r="K946" s="10"/>
      <c r="L946" s="10"/>
      <c r="M946" s="10"/>
    </row>
    <row r="947" spans="3:13">
      <c r="C947" s="10"/>
      <c r="H947" s="10"/>
      <c r="J947" s="10"/>
      <c r="K947" s="10"/>
      <c r="L947" s="10"/>
      <c r="M947" s="10"/>
    </row>
    <row r="948" spans="3:13">
      <c r="C948" s="10"/>
      <c r="H948" s="10"/>
      <c r="J948" s="10"/>
      <c r="K948" s="10"/>
      <c r="L948" s="10"/>
      <c r="M948" s="10"/>
    </row>
    <row r="949" spans="3:13">
      <c r="C949" s="10"/>
      <c r="H949" s="10"/>
      <c r="J949" s="10"/>
      <c r="K949" s="10"/>
      <c r="L949" s="10"/>
      <c r="M949" s="10"/>
    </row>
    <row r="950" spans="3:13">
      <c r="C950" s="10"/>
      <c r="H950" s="10"/>
      <c r="J950" s="10"/>
      <c r="K950" s="10"/>
      <c r="L950" s="10"/>
      <c r="M950" s="10"/>
    </row>
    <row r="951" spans="3:13">
      <c r="C951" s="10"/>
      <c r="H951" s="10"/>
      <c r="J951" s="10"/>
      <c r="K951" s="10"/>
      <c r="L951" s="10"/>
      <c r="M951" s="10"/>
    </row>
    <row r="952" spans="3:13">
      <c r="C952" s="10"/>
      <c r="H952" s="10"/>
      <c r="J952" s="10"/>
      <c r="K952" s="10"/>
      <c r="L952" s="10"/>
      <c r="M952" s="10"/>
    </row>
    <row r="953" spans="3:13">
      <c r="C953" s="10"/>
      <c r="H953" s="10"/>
      <c r="J953" s="10"/>
      <c r="K953" s="10"/>
      <c r="L953" s="10"/>
      <c r="M953" s="10"/>
    </row>
    <row r="954" spans="3:13">
      <c r="C954" s="10"/>
      <c r="H954" s="10"/>
      <c r="J954" s="10"/>
      <c r="K954" s="10"/>
      <c r="L954" s="10"/>
      <c r="M954" s="10"/>
    </row>
    <row r="955" spans="3:13">
      <c r="C955" s="10"/>
      <c r="H955" s="10"/>
      <c r="J955" s="10"/>
      <c r="K955" s="10"/>
      <c r="L955" s="10"/>
      <c r="M955" s="10"/>
    </row>
    <row r="956" spans="3:13">
      <c r="C956" s="10"/>
      <c r="H956" s="10"/>
      <c r="J956" s="10"/>
      <c r="K956" s="10"/>
      <c r="L956" s="10"/>
      <c r="M956" s="10"/>
    </row>
    <row r="957" spans="3:13">
      <c r="C957" s="10"/>
      <c r="H957" s="10"/>
      <c r="J957" s="10"/>
      <c r="K957" s="10"/>
      <c r="L957" s="10"/>
      <c r="M957" s="10"/>
    </row>
    <row r="958" spans="3:13">
      <c r="C958" s="10"/>
      <c r="H958" s="10"/>
      <c r="J958" s="10"/>
      <c r="K958" s="10"/>
      <c r="L958" s="10"/>
      <c r="M958" s="10"/>
    </row>
    <row r="959" spans="3:13">
      <c r="C959" s="10"/>
      <c r="H959" s="10"/>
      <c r="J959" s="10"/>
      <c r="K959" s="10"/>
      <c r="L959" s="10"/>
      <c r="M959" s="10"/>
    </row>
    <row r="960" spans="3:13">
      <c r="C960" s="10"/>
      <c r="H960" s="10"/>
      <c r="J960" s="10"/>
      <c r="K960" s="10"/>
      <c r="L960" s="10"/>
      <c r="M960" s="10"/>
    </row>
    <row r="961" spans="3:13">
      <c r="C961" s="10"/>
      <c r="H961" s="10"/>
      <c r="J961" s="10"/>
      <c r="K961" s="10"/>
      <c r="L961" s="10"/>
      <c r="M961" s="10"/>
    </row>
    <row r="962" spans="3:13">
      <c r="C962" s="10"/>
      <c r="H962" s="10"/>
      <c r="J962" s="10"/>
      <c r="K962" s="10"/>
      <c r="L962" s="10"/>
      <c r="M962" s="10"/>
    </row>
    <row r="963" spans="3:13">
      <c r="C963" s="10"/>
      <c r="H963" s="10"/>
      <c r="J963" s="10"/>
      <c r="K963" s="10"/>
      <c r="L963" s="10"/>
      <c r="M963" s="10"/>
    </row>
    <row r="964" spans="3:13">
      <c r="C964" s="10"/>
      <c r="H964" s="10"/>
      <c r="J964" s="10"/>
      <c r="K964" s="10"/>
      <c r="L964" s="10"/>
      <c r="M964" s="10"/>
    </row>
    <row r="965" spans="3:13">
      <c r="C965" s="10"/>
      <c r="H965" s="10"/>
      <c r="J965" s="10"/>
      <c r="K965" s="10"/>
      <c r="L965" s="10"/>
      <c r="M965" s="10"/>
    </row>
    <row r="966" spans="3:13">
      <c r="C966" s="10"/>
      <c r="H966" s="10"/>
      <c r="J966" s="10"/>
      <c r="K966" s="10"/>
      <c r="L966" s="10"/>
      <c r="M966" s="10"/>
    </row>
    <row r="967" spans="3:13">
      <c r="C967" s="10"/>
      <c r="H967" s="10"/>
      <c r="J967" s="10"/>
      <c r="K967" s="10"/>
      <c r="L967" s="10"/>
      <c r="M967" s="10"/>
    </row>
    <row r="968" spans="3:13">
      <c r="C968" s="10"/>
      <c r="H968" s="10"/>
      <c r="J968" s="10"/>
      <c r="K968" s="10"/>
      <c r="L968" s="10"/>
      <c r="M968" s="10"/>
    </row>
    <row r="969" spans="3:13">
      <c r="C969" s="10"/>
      <c r="H969" s="10"/>
      <c r="J969" s="10"/>
      <c r="K969" s="10"/>
      <c r="L969" s="10"/>
      <c r="M969" s="10"/>
    </row>
    <row r="970" spans="3:13">
      <c r="C970" s="10"/>
      <c r="H970" s="10"/>
      <c r="J970" s="10"/>
      <c r="K970" s="10"/>
      <c r="L970" s="10"/>
      <c r="M970" s="10"/>
    </row>
    <row r="971" spans="3:13">
      <c r="C971" s="10"/>
      <c r="H971" s="10"/>
      <c r="J971" s="10"/>
      <c r="K971" s="10"/>
      <c r="L971" s="10"/>
      <c r="M971" s="10"/>
    </row>
    <row r="972" spans="3:13">
      <c r="C972" s="10"/>
      <c r="H972" s="10"/>
      <c r="J972" s="10"/>
      <c r="K972" s="10"/>
      <c r="L972" s="10"/>
      <c r="M972" s="10"/>
    </row>
    <row r="973" spans="3:13">
      <c r="C973" s="10"/>
      <c r="H973" s="10"/>
      <c r="J973" s="10"/>
      <c r="K973" s="10"/>
      <c r="L973" s="10"/>
      <c r="M973" s="10"/>
    </row>
    <row r="974" spans="3:13">
      <c r="C974" s="10"/>
      <c r="H974" s="10"/>
      <c r="J974" s="10"/>
      <c r="K974" s="10"/>
      <c r="L974" s="10"/>
      <c r="M974" s="10"/>
    </row>
    <row r="975" spans="3:13">
      <c r="C975" s="10"/>
      <c r="H975" s="10"/>
      <c r="J975" s="10"/>
      <c r="K975" s="10"/>
      <c r="L975" s="10"/>
      <c r="M975" s="10"/>
    </row>
    <row r="976" spans="3:13">
      <c r="C976" s="10"/>
      <c r="H976" s="10"/>
      <c r="J976" s="10"/>
      <c r="K976" s="10"/>
      <c r="L976" s="10"/>
      <c r="M976" s="10"/>
    </row>
    <row r="977" spans="3:13">
      <c r="C977" s="10"/>
      <c r="H977" s="10"/>
      <c r="J977" s="10"/>
      <c r="K977" s="10"/>
      <c r="L977" s="10"/>
      <c r="M977" s="10"/>
    </row>
    <row r="978" spans="3:13">
      <c r="C978" s="10"/>
      <c r="H978" s="10"/>
      <c r="J978" s="10"/>
      <c r="K978" s="10"/>
      <c r="L978" s="10"/>
      <c r="M978" s="10"/>
    </row>
    <row r="979" spans="3:13">
      <c r="C979" s="10"/>
      <c r="H979" s="10"/>
      <c r="J979" s="10"/>
      <c r="K979" s="10"/>
      <c r="L979" s="10"/>
      <c r="M979" s="10"/>
    </row>
    <row r="980" spans="3:13">
      <c r="C980" s="10"/>
      <c r="H980" s="10"/>
      <c r="J980" s="10"/>
      <c r="K980" s="10"/>
      <c r="L980" s="10"/>
      <c r="M980" s="10"/>
    </row>
    <row r="981" spans="3:13">
      <c r="C981" s="10"/>
      <c r="H981" s="10"/>
      <c r="J981" s="10"/>
      <c r="K981" s="10"/>
      <c r="L981" s="10"/>
      <c r="M981" s="10"/>
    </row>
    <row r="982" spans="3:13">
      <c r="C982" s="10"/>
      <c r="H982" s="10"/>
      <c r="J982" s="10"/>
      <c r="K982" s="10"/>
      <c r="L982" s="10"/>
      <c r="M982" s="10"/>
    </row>
    <row r="983" spans="3:13">
      <c r="C983" s="10"/>
      <c r="H983" s="10"/>
      <c r="J983" s="10"/>
      <c r="K983" s="10"/>
      <c r="L983" s="10"/>
      <c r="M983" s="10"/>
    </row>
    <row r="984" spans="3:13">
      <c r="C984" s="10"/>
      <c r="H984" s="10"/>
      <c r="J984" s="10"/>
      <c r="K984" s="10"/>
      <c r="L984" s="10"/>
      <c r="M984" s="10"/>
    </row>
    <row r="985" spans="3:13">
      <c r="C985" s="10"/>
      <c r="H985" s="10"/>
      <c r="J985" s="10"/>
      <c r="K985" s="10"/>
      <c r="L985" s="10"/>
      <c r="M985" s="10"/>
    </row>
    <row r="986" spans="3:13">
      <c r="C986" s="10"/>
      <c r="H986" s="10"/>
      <c r="J986" s="10"/>
      <c r="K986" s="10"/>
      <c r="L986" s="10"/>
      <c r="M986" s="10"/>
    </row>
    <row r="987" spans="3:13">
      <c r="C987" s="10"/>
      <c r="H987" s="10"/>
      <c r="J987" s="10"/>
      <c r="K987" s="10"/>
      <c r="L987" s="10"/>
      <c r="M987" s="10"/>
    </row>
    <row r="988" spans="3:13">
      <c r="C988" s="10"/>
      <c r="H988" s="10"/>
      <c r="J988" s="10"/>
      <c r="K988" s="10"/>
      <c r="L988" s="10"/>
      <c r="M988" s="10"/>
    </row>
    <row r="989" spans="3:13">
      <c r="C989" s="10"/>
      <c r="H989" s="10"/>
      <c r="J989" s="10"/>
      <c r="K989" s="10"/>
      <c r="L989" s="10"/>
      <c r="M989" s="10"/>
    </row>
    <row r="990" spans="3:13">
      <c r="C990" s="10"/>
      <c r="H990" s="10"/>
      <c r="J990" s="10"/>
      <c r="K990" s="10"/>
      <c r="L990" s="10"/>
      <c r="M990" s="10"/>
    </row>
    <row r="991" spans="3:13">
      <c r="C991" s="10"/>
      <c r="H991" s="10"/>
      <c r="J991" s="10"/>
      <c r="K991" s="10"/>
      <c r="L991" s="10"/>
      <c r="M991" s="10"/>
    </row>
    <row r="992" spans="3:13">
      <c r="C992" s="10"/>
      <c r="H992" s="10"/>
      <c r="J992" s="10"/>
      <c r="K992" s="10"/>
      <c r="L992" s="10"/>
      <c r="M992" s="10"/>
    </row>
    <row r="993" spans="3:13">
      <c r="C993" s="10"/>
      <c r="H993" s="10"/>
      <c r="J993" s="10"/>
      <c r="K993" s="10"/>
      <c r="L993" s="10"/>
      <c r="M993" s="10"/>
    </row>
    <row r="994" spans="3:13">
      <c r="C994" s="10"/>
      <c r="H994" s="10"/>
      <c r="J994" s="10"/>
      <c r="K994" s="10"/>
      <c r="L994" s="10"/>
      <c r="M994" s="10"/>
    </row>
    <row r="995" spans="3:13">
      <c r="C995" s="10"/>
      <c r="H995" s="10"/>
      <c r="J995" s="10"/>
      <c r="K995" s="10"/>
      <c r="L995" s="10"/>
      <c r="M995" s="10"/>
    </row>
    <row r="996" spans="3:13">
      <c r="C996" s="10"/>
      <c r="H996" s="10"/>
      <c r="J996" s="10"/>
      <c r="K996" s="10"/>
      <c r="L996" s="10"/>
      <c r="M996" s="10"/>
    </row>
    <row r="997" spans="3:13">
      <c r="C997" s="10"/>
      <c r="H997" s="10"/>
      <c r="J997" s="10"/>
      <c r="K997" s="10"/>
      <c r="L997" s="10"/>
      <c r="M997" s="10"/>
    </row>
    <row r="998" spans="3:13">
      <c r="C998" s="10"/>
      <c r="H998" s="10"/>
      <c r="J998" s="10"/>
      <c r="K998" s="10"/>
      <c r="L998" s="10"/>
      <c r="M998" s="10"/>
    </row>
    <row r="999" spans="3:13">
      <c r="C999" s="10"/>
      <c r="H999" s="10"/>
      <c r="J999" s="10"/>
      <c r="K999" s="10"/>
      <c r="L999" s="10"/>
      <c r="M999" s="10"/>
    </row>
    <row r="1000" spans="3:13">
      <c r="C1000" s="10"/>
      <c r="H1000" s="10"/>
      <c r="J1000" s="10"/>
      <c r="K1000" s="10"/>
      <c r="L1000" s="10"/>
      <c r="M1000" s="10"/>
    </row>
    <row r="1001" spans="3:13">
      <c r="C1001" s="10"/>
      <c r="H1001" s="10"/>
      <c r="J1001" s="10"/>
      <c r="K1001" s="10"/>
      <c r="L1001" s="10"/>
      <c r="M1001" s="10"/>
    </row>
    <row r="1002" spans="3:13">
      <c r="C1002" s="10"/>
      <c r="H1002" s="10"/>
      <c r="J1002" s="10"/>
      <c r="K1002" s="10"/>
      <c r="L1002" s="10"/>
      <c r="M1002" s="10"/>
    </row>
    <row r="1003" spans="3:13">
      <c r="C1003" s="10"/>
      <c r="H1003" s="10"/>
      <c r="J1003" s="10"/>
      <c r="K1003" s="10"/>
      <c r="L1003" s="10"/>
      <c r="M1003" s="10"/>
    </row>
    <row r="1004" spans="3:13">
      <c r="C1004" s="10"/>
      <c r="H1004" s="10"/>
      <c r="J1004" s="10"/>
      <c r="K1004" s="10"/>
      <c r="L1004" s="10"/>
      <c r="M1004" s="10"/>
    </row>
    <row r="1005" spans="3:13">
      <c r="C1005" s="10"/>
      <c r="H1005" s="10"/>
      <c r="J1005" s="10"/>
      <c r="K1005" s="10"/>
      <c r="L1005" s="10"/>
      <c r="M1005" s="10"/>
    </row>
    <row r="1006" spans="3:13">
      <c r="C1006" s="10"/>
      <c r="H1006" s="10"/>
      <c r="J1006" s="10"/>
      <c r="K1006" s="10"/>
      <c r="L1006" s="10"/>
      <c r="M1006" s="10"/>
    </row>
    <row r="1007" spans="3:13">
      <c r="C1007" s="10"/>
      <c r="H1007" s="10"/>
      <c r="J1007" s="10"/>
      <c r="K1007" s="10"/>
      <c r="L1007" s="10"/>
      <c r="M1007" s="10"/>
    </row>
    <row r="1008" spans="3:13">
      <c r="C1008" s="10"/>
      <c r="H1008" s="10"/>
      <c r="J1008" s="10"/>
      <c r="K1008" s="10"/>
      <c r="L1008" s="10"/>
      <c r="M1008" s="10"/>
    </row>
    <row r="1009" spans="3:13">
      <c r="C1009" s="10"/>
      <c r="H1009" s="10"/>
      <c r="J1009" s="10"/>
      <c r="K1009" s="10"/>
      <c r="L1009" s="10"/>
      <c r="M1009" s="10"/>
    </row>
    <row r="1010" spans="3:13">
      <c r="C1010" s="10"/>
      <c r="H1010" s="10"/>
      <c r="J1010" s="10"/>
      <c r="K1010" s="10"/>
      <c r="L1010" s="10"/>
      <c r="M1010" s="10"/>
    </row>
    <row r="1011" spans="3:13">
      <c r="C1011" s="10"/>
      <c r="H1011" s="10"/>
      <c r="J1011" s="10"/>
      <c r="K1011" s="10"/>
      <c r="L1011" s="10"/>
      <c r="M1011" s="10"/>
    </row>
    <row r="1012" spans="3:13">
      <c r="C1012" s="10"/>
      <c r="H1012" s="10"/>
      <c r="J1012" s="10"/>
      <c r="K1012" s="10"/>
      <c r="L1012" s="10"/>
      <c r="M1012" s="10"/>
    </row>
    <row r="1013" spans="3:13">
      <c r="C1013" s="10"/>
      <c r="H1013" s="10"/>
      <c r="J1013" s="10"/>
      <c r="K1013" s="10"/>
      <c r="L1013" s="10"/>
      <c r="M1013" s="10"/>
    </row>
    <row r="1014" spans="3:13">
      <c r="C1014" s="10"/>
      <c r="H1014" s="10"/>
      <c r="J1014" s="10"/>
      <c r="K1014" s="10"/>
      <c r="L1014" s="10"/>
      <c r="M1014" s="10"/>
    </row>
    <row r="1015" spans="3:13">
      <c r="C1015" s="10"/>
      <c r="H1015" s="10"/>
      <c r="J1015" s="10"/>
      <c r="K1015" s="10"/>
      <c r="L1015" s="10"/>
      <c r="M1015" s="10"/>
    </row>
    <row r="1016" spans="3:13">
      <c r="C1016" s="10"/>
      <c r="H1016" s="10"/>
      <c r="J1016" s="10"/>
      <c r="K1016" s="10"/>
      <c r="L1016" s="10"/>
      <c r="M1016" s="10"/>
    </row>
    <row r="1017" spans="3:13">
      <c r="C1017" s="10"/>
      <c r="H1017" s="10"/>
      <c r="J1017" s="10"/>
      <c r="K1017" s="10"/>
      <c r="L1017" s="10"/>
      <c r="M1017" s="10"/>
    </row>
    <row r="1018" spans="3:13">
      <c r="C1018" s="10"/>
      <c r="H1018" s="10"/>
      <c r="J1018" s="10"/>
      <c r="K1018" s="10"/>
      <c r="L1018" s="10"/>
      <c r="M1018" s="10"/>
    </row>
    <row r="1019" spans="3:13">
      <c r="C1019" s="10"/>
      <c r="H1019" s="10"/>
      <c r="J1019" s="10"/>
      <c r="K1019" s="10"/>
      <c r="L1019" s="10"/>
      <c r="M1019" s="10"/>
    </row>
    <row r="1020" spans="3:13">
      <c r="C1020" s="10"/>
      <c r="H1020" s="10"/>
      <c r="J1020" s="10"/>
      <c r="K1020" s="10"/>
      <c r="L1020" s="10"/>
      <c r="M1020" s="10"/>
    </row>
    <row r="1021" spans="3:13">
      <c r="C1021" s="10"/>
      <c r="H1021" s="10"/>
      <c r="J1021" s="10"/>
      <c r="K1021" s="10"/>
      <c r="L1021" s="10"/>
      <c r="M1021" s="10"/>
    </row>
    <row r="1022" spans="3:13">
      <c r="C1022" s="10"/>
      <c r="H1022" s="10"/>
      <c r="J1022" s="10"/>
      <c r="K1022" s="10"/>
      <c r="L1022" s="10"/>
      <c r="M1022" s="10"/>
    </row>
    <row r="1023" spans="3:13">
      <c r="C1023" s="10"/>
      <c r="H1023" s="10"/>
      <c r="J1023" s="10"/>
      <c r="K1023" s="10"/>
      <c r="L1023" s="10"/>
      <c r="M1023" s="10"/>
    </row>
    <row r="1024" spans="3:13">
      <c r="C1024" s="10"/>
      <c r="H1024" s="10"/>
      <c r="J1024" s="10"/>
      <c r="K1024" s="10"/>
      <c r="L1024" s="10"/>
      <c r="M1024" s="10"/>
    </row>
    <row r="1025" spans="3:13">
      <c r="C1025" s="10"/>
      <c r="H1025" s="10"/>
      <c r="J1025" s="10"/>
      <c r="K1025" s="10"/>
      <c r="L1025" s="10"/>
      <c r="M1025" s="10"/>
    </row>
    <row r="1026" spans="3:13">
      <c r="C1026" s="10"/>
      <c r="H1026" s="10"/>
      <c r="J1026" s="10"/>
      <c r="K1026" s="10"/>
      <c r="L1026" s="10"/>
      <c r="M1026" s="10"/>
    </row>
    <row r="1027" spans="3:13">
      <c r="C1027" s="10"/>
      <c r="H1027" s="10"/>
      <c r="J1027" s="10"/>
      <c r="K1027" s="10"/>
      <c r="L1027" s="10"/>
      <c r="M1027" s="10"/>
    </row>
    <row r="1028" spans="3:13">
      <c r="C1028" s="10"/>
      <c r="H1028" s="10"/>
      <c r="J1028" s="10"/>
      <c r="K1028" s="10"/>
      <c r="L1028" s="10"/>
      <c r="M1028" s="10"/>
    </row>
    <row r="1029" spans="3:13">
      <c r="C1029" s="10"/>
      <c r="H1029" s="10"/>
      <c r="J1029" s="10"/>
      <c r="K1029" s="10"/>
      <c r="L1029" s="10"/>
      <c r="M1029" s="10"/>
    </row>
    <row r="1030" spans="3:13">
      <c r="C1030" s="10"/>
      <c r="H1030" s="10"/>
      <c r="J1030" s="10"/>
      <c r="K1030" s="10"/>
      <c r="L1030" s="10"/>
      <c r="M1030" s="10"/>
    </row>
    <row r="1031" spans="3:13">
      <c r="C1031" s="10"/>
      <c r="H1031" s="10"/>
      <c r="J1031" s="10"/>
      <c r="K1031" s="10"/>
      <c r="L1031" s="10"/>
      <c r="M1031" s="10"/>
    </row>
    <row r="1032" spans="3:13">
      <c r="C1032" s="10"/>
      <c r="H1032" s="10"/>
      <c r="J1032" s="10"/>
      <c r="K1032" s="10"/>
      <c r="L1032" s="10"/>
      <c r="M1032" s="10"/>
    </row>
    <row r="1033" spans="3:13">
      <c r="C1033" s="10"/>
      <c r="H1033" s="10"/>
      <c r="J1033" s="10"/>
      <c r="K1033" s="10"/>
      <c r="L1033" s="10"/>
      <c r="M1033" s="10"/>
    </row>
    <row r="1034" spans="3:13">
      <c r="C1034" s="10"/>
      <c r="H1034" s="10"/>
      <c r="J1034" s="10"/>
      <c r="K1034" s="10"/>
      <c r="L1034" s="10"/>
      <c r="M1034" s="10"/>
    </row>
    <row r="1035" spans="3:13">
      <c r="C1035" s="10"/>
      <c r="H1035" s="10"/>
      <c r="J1035" s="10"/>
      <c r="K1035" s="10"/>
      <c r="L1035" s="10"/>
      <c r="M1035" s="10"/>
    </row>
    <row r="1036" spans="3:13">
      <c r="C1036" s="10"/>
      <c r="H1036" s="10"/>
      <c r="J1036" s="10"/>
      <c r="K1036" s="10"/>
      <c r="L1036" s="10"/>
      <c r="M1036" s="10"/>
    </row>
    <row r="1037" spans="3:13">
      <c r="C1037" s="10"/>
      <c r="H1037" s="10"/>
      <c r="J1037" s="10"/>
      <c r="K1037" s="10"/>
      <c r="L1037" s="10"/>
      <c r="M1037" s="10"/>
    </row>
    <row r="1038" spans="3:13">
      <c r="C1038" s="10"/>
      <c r="H1038" s="10"/>
      <c r="J1038" s="10"/>
      <c r="K1038" s="10"/>
      <c r="L1038" s="10"/>
      <c r="M1038" s="10"/>
    </row>
    <row r="1039" spans="3:13">
      <c r="C1039" s="10"/>
      <c r="H1039" s="10"/>
      <c r="J1039" s="10"/>
      <c r="K1039" s="10"/>
      <c r="L1039" s="10"/>
      <c r="M1039" s="10"/>
    </row>
    <row r="1040" spans="3:13">
      <c r="C1040" s="10"/>
      <c r="H1040" s="10"/>
      <c r="J1040" s="10"/>
      <c r="K1040" s="10"/>
      <c r="L1040" s="10"/>
      <c r="M1040" s="10"/>
    </row>
    <row r="1041" spans="3:13">
      <c r="C1041" s="10"/>
      <c r="H1041" s="10"/>
      <c r="J1041" s="10"/>
      <c r="K1041" s="10"/>
      <c r="L1041" s="10"/>
      <c r="M1041" s="10"/>
    </row>
    <row r="1042" spans="3:13">
      <c r="C1042" s="10"/>
      <c r="H1042" s="10"/>
      <c r="J1042" s="10"/>
      <c r="K1042" s="10"/>
      <c r="L1042" s="10"/>
      <c r="M1042" s="10"/>
    </row>
    <row r="1043" spans="3:13">
      <c r="C1043" s="10"/>
      <c r="H1043" s="10"/>
      <c r="J1043" s="10"/>
      <c r="K1043" s="10"/>
      <c r="L1043" s="10"/>
      <c r="M1043" s="10"/>
    </row>
    <row r="1044" spans="3:13">
      <c r="C1044" s="10"/>
      <c r="H1044" s="10"/>
      <c r="J1044" s="10"/>
      <c r="K1044" s="10"/>
      <c r="L1044" s="10"/>
      <c r="M1044" s="10"/>
    </row>
    <row r="1045" spans="3:13">
      <c r="C1045" s="10"/>
      <c r="H1045" s="10"/>
      <c r="J1045" s="10"/>
      <c r="K1045" s="10"/>
      <c r="L1045" s="10"/>
      <c r="M1045" s="10"/>
    </row>
    <row r="1046" spans="3:13">
      <c r="C1046" s="10"/>
      <c r="H1046" s="10"/>
      <c r="J1046" s="10"/>
      <c r="K1046" s="10"/>
      <c r="L1046" s="10"/>
      <c r="M1046" s="10"/>
    </row>
    <row r="1047" spans="3:13">
      <c r="C1047" s="10"/>
      <c r="H1047" s="10"/>
      <c r="J1047" s="10"/>
      <c r="K1047" s="10"/>
      <c r="L1047" s="10"/>
      <c r="M1047" s="10"/>
    </row>
    <row r="1048" spans="3:13">
      <c r="C1048" s="10"/>
      <c r="H1048" s="10"/>
      <c r="J1048" s="10"/>
      <c r="K1048" s="10"/>
      <c r="L1048" s="10"/>
      <c r="M1048" s="10"/>
    </row>
    <row r="1049" spans="3:13">
      <c r="C1049" s="10"/>
      <c r="H1049" s="10"/>
      <c r="J1049" s="10"/>
      <c r="K1049" s="10"/>
      <c r="L1049" s="10"/>
      <c r="M1049" s="10"/>
    </row>
    <row r="1050" spans="3:13">
      <c r="C1050" s="10"/>
      <c r="H1050" s="10"/>
      <c r="J1050" s="10"/>
      <c r="K1050" s="10"/>
      <c r="L1050" s="10"/>
      <c r="M1050" s="10"/>
    </row>
    <row r="1051" spans="3:13">
      <c r="C1051" s="10"/>
      <c r="H1051" s="10"/>
      <c r="J1051" s="10"/>
      <c r="K1051" s="10"/>
      <c r="L1051" s="10"/>
      <c r="M1051" s="10"/>
    </row>
    <row r="1052" spans="3:13">
      <c r="C1052" s="10"/>
      <c r="H1052" s="10"/>
      <c r="J1052" s="10"/>
      <c r="K1052" s="10"/>
      <c r="L1052" s="10"/>
      <c r="M1052" s="10"/>
    </row>
    <row r="1053" spans="3:13">
      <c r="C1053" s="10"/>
      <c r="H1053" s="10"/>
      <c r="J1053" s="10"/>
      <c r="K1053" s="10"/>
      <c r="L1053" s="10"/>
      <c r="M1053" s="10"/>
    </row>
    <row r="1054" spans="3:13">
      <c r="C1054" s="10"/>
      <c r="H1054" s="10"/>
      <c r="J1054" s="10"/>
      <c r="K1054" s="10"/>
      <c r="L1054" s="10"/>
      <c r="M1054" s="10"/>
    </row>
    <row r="1055" spans="3:13">
      <c r="C1055" s="10"/>
      <c r="H1055" s="10"/>
      <c r="J1055" s="10"/>
      <c r="K1055" s="10"/>
      <c r="L1055" s="10"/>
      <c r="M1055" s="10"/>
    </row>
    <row r="1056" spans="3:13">
      <c r="C1056" s="10"/>
      <c r="H1056" s="10"/>
      <c r="J1056" s="10"/>
      <c r="K1056" s="10"/>
      <c r="L1056" s="10"/>
      <c r="M1056" s="10"/>
    </row>
    <row r="1057" spans="3:13">
      <c r="C1057" s="10"/>
      <c r="H1057" s="10"/>
      <c r="J1057" s="10"/>
      <c r="K1057" s="10"/>
      <c r="L1057" s="10"/>
      <c r="M1057" s="10"/>
    </row>
    <row r="1058" spans="3:13">
      <c r="C1058" s="10"/>
      <c r="H1058" s="10"/>
      <c r="J1058" s="10"/>
      <c r="K1058" s="10"/>
      <c r="L1058" s="10"/>
      <c r="M1058" s="10"/>
    </row>
    <row r="1059" spans="3:13">
      <c r="C1059" s="10"/>
      <c r="H1059" s="10"/>
      <c r="J1059" s="10"/>
      <c r="K1059" s="10"/>
      <c r="L1059" s="10"/>
      <c r="M1059" s="10"/>
    </row>
    <row r="1060" spans="3:13">
      <c r="C1060" s="10"/>
      <c r="H1060" s="10"/>
      <c r="J1060" s="10"/>
      <c r="K1060" s="10"/>
      <c r="L1060" s="10"/>
      <c r="M1060" s="10"/>
    </row>
    <row r="1061" spans="3:13">
      <c r="C1061" s="10"/>
      <c r="H1061" s="10"/>
      <c r="J1061" s="10"/>
      <c r="K1061" s="10"/>
      <c r="L1061" s="10"/>
      <c r="M1061" s="10"/>
    </row>
    <row r="1062" spans="3:13">
      <c r="C1062" s="10"/>
      <c r="H1062" s="10"/>
      <c r="J1062" s="10"/>
      <c r="K1062" s="10"/>
      <c r="L1062" s="10"/>
      <c r="M1062" s="10"/>
    </row>
    <row r="1063" spans="3:13">
      <c r="C1063" s="10"/>
      <c r="H1063" s="10"/>
      <c r="J1063" s="10"/>
      <c r="K1063" s="10"/>
      <c r="L1063" s="10"/>
      <c r="M1063" s="10"/>
    </row>
    <row r="1064" spans="3:13">
      <c r="C1064" s="10"/>
      <c r="H1064" s="10"/>
      <c r="J1064" s="10"/>
      <c r="K1064" s="10"/>
      <c r="L1064" s="10"/>
      <c r="M1064" s="10"/>
    </row>
    <row r="1065" spans="3:13">
      <c r="C1065" s="10"/>
      <c r="H1065" s="10"/>
      <c r="J1065" s="10"/>
      <c r="K1065" s="10"/>
      <c r="L1065" s="10"/>
      <c r="M1065" s="10"/>
    </row>
    <row r="1066" spans="3:13">
      <c r="C1066" s="10"/>
      <c r="H1066" s="10"/>
      <c r="J1066" s="10"/>
      <c r="K1066" s="10"/>
      <c r="L1066" s="10"/>
      <c r="M1066" s="10"/>
    </row>
    <row r="1067" spans="3:13">
      <c r="C1067" s="10"/>
      <c r="H1067" s="10"/>
      <c r="J1067" s="10"/>
      <c r="K1067" s="10"/>
      <c r="L1067" s="10"/>
      <c r="M1067" s="10"/>
    </row>
    <row r="1068" spans="3:13">
      <c r="C1068" s="10"/>
      <c r="H1068" s="10"/>
      <c r="J1068" s="10"/>
      <c r="K1068" s="10"/>
      <c r="L1068" s="10"/>
      <c r="M1068" s="10"/>
    </row>
    <row r="1069" spans="3:13">
      <c r="C1069" s="10"/>
      <c r="H1069" s="10"/>
      <c r="J1069" s="10"/>
      <c r="K1069" s="10"/>
      <c r="L1069" s="10"/>
      <c r="M1069" s="10"/>
    </row>
    <row r="1070" spans="3:13">
      <c r="C1070" s="10"/>
      <c r="H1070" s="10"/>
      <c r="J1070" s="10"/>
      <c r="K1070" s="10"/>
      <c r="L1070" s="10"/>
      <c r="M1070" s="10"/>
    </row>
    <row r="1071" spans="3:13">
      <c r="C1071" s="10"/>
      <c r="H1071" s="10"/>
      <c r="J1071" s="10"/>
      <c r="K1071" s="10"/>
      <c r="L1071" s="10"/>
      <c r="M1071" s="10"/>
    </row>
    <row r="1072" spans="3:13">
      <c r="C1072" s="10"/>
      <c r="H1072" s="10"/>
      <c r="J1072" s="10"/>
      <c r="K1072" s="10"/>
      <c r="L1072" s="10"/>
      <c r="M1072" s="10"/>
    </row>
    <row r="1073" spans="3:13">
      <c r="C1073" s="10"/>
      <c r="H1073" s="10"/>
      <c r="J1073" s="10"/>
      <c r="K1073" s="10"/>
      <c r="L1073" s="10"/>
      <c r="M1073" s="10"/>
    </row>
    <row r="1074" spans="3:13">
      <c r="C1074" s="10"/>
      <c r="H1074" s="10"/>
      <c r="J1074" s="10"/>
      <c r="K1074" s="10"/>
      <c r="L1074" s="10"/>
      <c r="M1074" s="10"/>
    </row>
    <row r="1075" spans="3:13">
      <c r="C1075" s="10"/>
      <c r="H1075" s="10"/>
      <c r="J1075" s="10"/>
      <c r="K1075" s="10"/>
      <c r="L1075" s="10"/>
      <c r="M1075" s="10"/>
    </row>
    <row r="1076" spans="3:13">
      <c r="C1076" s="10"/>
      <c r="H1076" s="10"/>
      <c r="J1076" s="10"/>
      <c r="K1076" s="10"/>
      <c r="L1076" s="10"/>
      <c r="M1076" s="10"/>
    </row>
    <row r="1077" spans="3:13">
      <c r="C1077" s="10"/>
      <c r="H1077" s="10"/>
      <c r="J1077" s="10"/>
      <c r="K1077" s="10"/>
      <c r="L1077" s="10"/>
      <c r="M1077" s="10"/>
    </row>
    <row r="1078" spans="3:13">
      <c r="C1078" s="10"/>
      <c r="H1078" s="10"/>
      <c r="J1078" s="10"/>
      <c r="K1078" s="10"/>
      <c r="L1078" s="10"/>
      <c r="M1078" s="10"/>
    </row>
    <row r="1079" spans="3:13">
      <c r="C1079" s="10"/>
      <c r="H1079" s="10"/>
      <c r="J1079" s="10"/>
      <c r="K1079" s="10"/>
      <c r="L1079" s="10"/>
      <c r="M1079" s="10"/>
    </row>
    <row r="1080" spans="3:13">
      <c r="C1080" s="10"/>
      <c r="H1080" s="10"/>
      <c r="J1080" s="10"/>
      <c r="K1080" s="10"/>
      <c r="L1080" s="10"/>
      <c r="M1080" s="10"/>
    </row>
    <row r="1081" spans="3:13">
      <c r="C1081" s="10"/>
      <c r="H1081" s="10"/>
      <c r="J1081" s="10"/>
      <c r="K1081" s="10"/>
      <c r="L1081" s="10"/>
      <c r="M1081" s="10"/>
    </row>
    <row r="1082" spans="3:13">
      <c r="C1082" s="10"/>
      <c r="H1082" s="10"/>
      <c r="J1082" s="10"/>
      <c r="K1082" s="10"/>
      <c r="L1082" s="10"/>
      <c r="M1082" s="10"/>
    </row>
    <row r="1083" spans="3:13">
      <c r="C1083" s="10"/>
      <c r="H1083" s="10"/>
      <c r="J1083" s="10"/>
      <c r="K1083" s="10"/>
      <c r="L1083" s="10"/>
      <c r="M1083" s="10"/>
    </row>
    <row r="1084" spans="3:13">
      <c r="C1084" s="10"/>
      <c r="H1084" s="10"/>
      <c r="J1084" s="10"/>
      <c r="K1084" s="10"/>
      <c r="L1084" s="10"/>
      <c r="M1084" s="10"/>
    </row>
    <row r="1085" spans="3:13">
      <c r="C1085" s="10"/>
      <c r="H1085" s="10"/>
      <c r="J1085" s="10"/>
      <c r="K1085" s="10"/>
      <c r="L1085" s="10"/>
      <c r="M1085" s="10"/>
    </row>
    <row r="1086" spans="3:13">
      <c r="C1086" s="10"/>
      <c r="H1086" s="10"/>
      <c r="J1086" s="10"/>
      <c r="K1086" s="10"/>
      <c r="L1086" s="10"/>
      <c r="M1086" s="10"/>
    </row>
    <row r="1087" spans="3:13">
      <c r="C1087" s="10"/>
      <c r="H1087" s="10"/>
      <c r="J1087" s="10"/>
      <c r="K1087" s="10"/>
      <c r="L1087" s="10"/>
      <c r="M1087" s="10"/>
    </row>
    <row r="1088" spans="3:13">
      <c r="C1088" s="10"/>
      <c r="H1088" s="10"/>
      <c r="J1088" s="10"/>
      <c r="K1088" s="10"/>
      <c r="L1088" s="10"/>
      <c r="M1088" s="10"/>
    </row>
    <row r="1089" spans="3:13">
      <c r="C1089" s="10"/>
      <c r="H1089" s="10"/>
      <c r="J1089" s="10"/>
      <c r="K1089" s="10"/>
      <c r="L1089" s="10"/>
      <c r="M1089" s="10"/>
    </row>
    <row r="1090" spans="3:13">
      <c r="C1090" s="10"/>
      <c r="H1090" s="10"/>
      <c r="J1090" s="10"/>
      <c r="K1090" s="10"/>
      <c r="L1090" s="10"/>
      <c r="M1090" s="10"/>
    </row>
    <row r="1091" spans="3:13">
      <c r="C1091" s="10"/>
      <c r="H1091" s="10"/>
      <c r="J1091" s="10"/>
      <c r="K1091" s="10"/>
      <c r="L1091" s="10"/>
      <c r="M1091" s="10"/>
    </row>
    <row r="1092" spans="3:13">
      <c r="C1092" s="10"/>
      <c r="H1092" s="10"/>
      <c r="J1092" s="10"/>
      <c r="K1092" s="10"/>
      <c r="L1092" s="10"/>
      <c r="M1092" s="10"/>
    </row>
    <row r="1093" spans="3:13">
      <c r="C1093" s="10"/>
      <c r="H1093" s="10"/>
      <c r="J1093" s="10"/>
      <c r="K1093" s="10"/>
      <c r="L1093" s="10"/>
      <c r="M1093" s="10"/>
    </row>
    <row r="1094" spans="3:13">
      <c r="C1094" s="10"/>
      <c r="H1094" s="10"/>
      <c r="J1094" s="10"/>
      <c r="K1094" s="10"/>
      <c r="L1094" s="10"/>
      <c r="M1094" s="10"/>
    </row>
    <row r="1095" spans="3:13">
      <c r="C1095" s="10"/>
      <c r="H1095" s="10"/>
      <c r="J1095" s="10"/>
      <c r="K1095" s="10"/>
      <c r="L1095" s="10"/>
      <c r="M1095" s="10"/>
    </row>
    <row r="1096" spans="3:13">
      <c r="C1096" s="10"/>
      <c r="H1096" s="10"/>
      <c r="J1096" s="10"/>
      <c r="K1096" s="10"/>
      <c r="L1096" s="10"/>
      <c r="M1096" s="10"/>
    </row>
    <row r="1097" spans="3:13">
      <c r="C1097" s="10"/>
      <c r="H1097" s="10"/>
      <c r="J1097" s="10"/>
      <c r="K1097" s="10"/>
      <c r="L1097" s="10"/>
      <c r="M1097" s="10"/>
    </row>
    <row r="1098" spans="3:13">
      <c r="C1098" s="10"/>
      <c r="H1098" s="10"/>
      <c r="J1098" s="10"/>
      <c r="K1098" s="10"/>
      <c r="L1098" s="10"/>
      <c r="M1098" s="10"/>
    </row>
    <row r="1099" spans="3:13">
      <c r="C1099" s="10"/>
      <c r="H1099" s="10"/>
      <c r="J1099" s="10"/>
      <c r="K1099" s="10"/>
      <c r="L1099" s="10"/>
      <c r="M1099" s="10"/>
    </row>
    <row r="1100" spans="3:13">
      <c r="C1100" s="10"/>
      <c r="H1100" s="10"/>
      <c r="J1100" s="10"/>
      <c r="K1100" s="10"/>
      <c r="L1100" s="10"/>
      <c r="M1100" s="10"/>
    </row>
    <row r="1101" spans="3:13">
      <c r="C1101" s="10"/>
      <c r="H1101" s="10"/>
      <c r="J1101" s="10"/>
      <c r="K1101" s="10"/>
      <c r="L1101" s="10"/>
      <c r="M1101" s="10"/>
    </row>
    <row r="1102" spans="3:13">
      <c r="C1102" s="10"/>
      <c r="H1102" s="10"/>
      <c r="J1102" s="10"/>
      <c r="K1102" s="10"/>
      <c r="L1102" s="10"/>
      <c r="M1102" s="10"/>
    </row>
    <row r="1103" spans="3:13">
      <c r="C1103" s="10"/>
      <c r="H1103" s="10"/>
      <c r="J1103" s="10"/>
      <c r="K1103" s="10"/>
      <c r="L1103" s="10"/>
      <c r="M1103" s="10"/>
    </row>
    <row r="1104" spans="3:13">
      <c r="C1104" s="10"/>
      <c r="H1104" s="10"/>
      <c r="J1104" s="10"/>
      <c r="K1104" s="10"/>
      <c r="L1104" s="10"/>
      <c r="M1104" s="10"/>
    </row>
    <row r="1105" spans="3:13">
      <c r="C1105" s="10"/>
      <c r="H1105" s="10"/>
      <c r="J1105" s="10"/>
      <c r="K1105" s="10"/>
      <c r="L1105" s="10"/>
      <c r="M1105" s="10"/>
    </row>
    <row r="1106" spans="3:13">
      <c r="C1106" s="10"/>
      <c r="H1106" s="10"/>
      <c r="J1106" s="10"/>
      <c r="K1106" s="10"/>
      <c r="L1106" s="10"/>
      <c r="M1106" s="10"/>
    </row>
    <row r="1107" spans="3:13">
      <c r="C1107" s="10"/>
      <c r="H1107" s="10"/>
      <c r="J1107" s="10"/>
      <c r="K1107" s="10"/>
      <c r="L1107" s="10"/>
      <c r="M1107" s="10"/>
    </row>
    <row r="1108" spans="3:13">
      <c r="C1108" s="10"/>
      <c r="H1108" s="10"/>
      <c r="J1108" s="10"/>
      <c r="K1108" s="10"/>
      <c r="L1108" s="10"/>
      <c r="M1108" s="10"/>
    </row>
    <row r="1109" spans="3:13">
      <c r="C1109" s="10"/>
      <c r="H1109" s="10"/>
      <c r="J1109" s="10"/>
      <c r="K1109" s="10"/>
      <c r="L1109" s="10"/>
      <c r="M1109" s="10"/>
    </row>
    <row r="1110" spans="3:13">
      <c r="C1110" s="10"/>
      <c r="H1110" s="10"/>
      <c r="J1110" s="10"/>
      <c r="K1110" s="10"/>
      <c r="L1110" s="10"/>
      <c r="M1110" s="10"/>
    </row>
    <row r="1111" spans="3:13">
      <c r="C1111" s="10"/>
      <c r="H1111" s="10"/>
      <c r="J1111" s="10"/>
      <c r="K1111" s="10"/>
      <c r="L1111" s="10"/>
      <c r="M1111" s="10"/>
    </row>
    <row r="1112" spans="3:13">
      <c r="C1112" s="10"/>
      <c r="H1112" s="10"/>
      <c r="J1112" s="10"/>
      <c r="K1112" s="10"/>
      <c r="L1112" s="10"/>
      <c r="M1112" s="10"/>
    </row>
    <row r="1113" spans="3:13">
      <c r="C1113" s="10"/>
      <c r="H1113" s="10"/>
      <c r="J1113" s="10"/>
      <c r="K1113" s="10"/>
      <c r="L1113" s="10"/>
      <c r="M1113" s="10"/>
    </row>
    <row r="1114" spans="3:13">
      <c r="C1114" s="10"/>
      <c r="H1114" s="10"/>
      <c r="J1114" s="10"/>
      <c r="K1114" s="10"/>
      <c r="L1114" s="10"/>
      <c r="M1114" s="10"/>
    </row>
    <row r="1115" spans="3:13">
      <c r="C1115" s="10"/>
      <c r="H1115" s="10"/>
      <c r="J1115" s="10"/>
      <c r="K1115" s="10"/>
      <c r="L1115" s="10"/>
      <c r="M1115" s="10"/>
    </row>
    <row r="1116" spans="3:13">
      <c r="C1116" s="10"/>
      <c r="H1116" s="10"/>
      <c r="J1116" s="10"/>
      <c r="K1116" s="10"/>
      <c r="L1116" s="10"/>
      <c r="M1116" s="10"/>
    </row>
    <row r="1117" spans="3:13">
      <c r="C1117" s="10"/>
      <c r="H1117" s="10"/>
      <c r="J1117" s="10"/>
      <c r="K1117" s="10"/>
      <c r="L1117" s="10"/>
      <c r="M1117" s="10"/>
    </row>
    <row r="1118" spans="3:13">
      <c r="C1118" s="10"/>
      <c r="H1118" s="10"/>
      <c r="J1118" s="10"/>
      <c r="K1118" s="10"/>
      <c r="L1118" s="10"/>
      <c r="M1118" s="10"/>
    </row>
    <row r="1119" spans="3:13">
      <c r="C1119" s="10"/>
      <c r="H1119" s="10"/>
      <c r="J1119" s="10"/>
      <c r="K1119" s="10"/>
      <c r="L1119" s="10"/>
      <c r="M1119" s="10"/>
    </row>
    <row r="1120" spans="3:13">
      <c r="C1120" s="10"/>
      <c r="H1120" s="10"/>
      <c r="J1120" s="10"/>
      <c r="K1120" s="10"/>
      <c r="L1120" s="10"/>
      <c r="M1120" s="10"/>
    </row>
    <row r="1121" spans="3:13">
      <c r="C1121" s="10"/>
      <c r="H1121" s="10"/>
      <c r="J1121" s="10"/>
      <c r="K1121" s="10"/>
      <c r="L1121" s="10"/>
      <c r="M1121" s="10"/>
    </row>
    <row r="1122" spans="3:13">
      <c r="C1122" s="10"/>
      <c r="H1122" s="10"/>
      <c r="J1122" s="10"/>
      <c r="K1122" s="10"/>
      <c r="L1122" s="10"/>
      <c r="M1122" s="10"/>
    </row>
    <row r="1123" spans="3:13">
      <c r="C1123" s="10"/>
      <c r="H1123" s="10"/>
      <c r="J1123" s="10"/>
      <c r="K1123" s="10"/>
      <c r="L1123" s="10"/>
      <c r="M1123" s="10"/>
    </row>
    <row r="1124" spans="3:13">
      <c r="C1124" s="10"/>
      <c r="H1124" s="10"/>
      <c r="J1124" s="10"/>
      <c r="K1124" s="10"/>
      <c r="L1124" s="10"/>
      <c r="M1124" s="10"/>
    </row>
    <row r="1125" spans="3:13">
      <c r="C1125" s="10"/>
      <c r="H1125" s="10"/>
      <c r="J1125" s="10"/>
      <c r="K1125" s="10"/>
      <c r="L1125" s="10"/>
      <c r="M1125" s="10"/>
    </row>
    <row r="1126" spans="3:13">
      <c r="C1126" s="10"/>
      <c r="H1126" s="10"/>
      <c r="J1126" s="10"/>
      <c r="K1126" s="10"/>
      <c r="L1126" s="10"/>
      <c r="M1126" s="10"/>
    </row>
    <row r="1127" spans="3:13">
      <c r="C1127" s="10"/>
      <c r="H1127" s="10"/>
      <c r="J1127" s="10"/>
      <c r="K1127" s="10"/>
      <c r="L1127" s="10"/>
      <c r="M1127" s="10"/>
    </row>
    <row r="1128" spans="3:13">
      <c r="C1128" s="10"/>
      <c r="H1128" s="10"/>
      <c r="J1128" s="10"/>
      <c r="K1128" s="10"/>
      <c r="L1128" s="10"/>
      <c r="M1128" s="10"/>
    </row>
    <row r="1129" spans="3:13">
      <c r="C1129" s="10"/>
      <c r="H1129" s="10"/>
      <c r="J1129" s="10"/>
      <c r="K1129" s="10"/>
      <c r="L1129" s="10"/>
      <c r="M1129" s="10"/>
    </row>
    <row r="1130" spans="3:13">
      <c r="C1130" s="10"/>
      <c r="H1130" s="10"/>
      <c r="J1130" s="10"/>
      <c r="K1130" s="10"/>
      <c r="L1130" s="10"/>
      <c r="M1130" s="10"/>
    </row>
    <row r="1131" spans="3:13">
      <c r="C1131" s="10"/>
      <c r="H1131" s="10"/>
      <c r="J1131" s="10"/>
      <c r="K1131" s="10"/>
      <c r="L1131" s="10"/>
      <c r="M1131" s="10"/>
    </row>
    <row r="1132" spans="3:13">
      <c r="C1132" s="10"/>
      <c r="H1132" s="10"/>
      <c r="J1132" s="10"/>
      <c r="K1132" s="10"/>
      <c r="L1132" s="10"/>
      <c r="M1132" s="10"/>
    </row>
    <row r="1133" spans="3:13">
      <c r="C1133" s="10"/>
      <c r="H1133" s="10"/>
      <c r="J1133" s="10"/>
      <c r="K1133" s="10"/>
      <c r="L1133" s="10"/>
      <c r="M1133" s="10"/>
    </row>
    <row r="1134" spans="3:13">
      <c r="C1134" s="10"/>
      <c r="H1134" s="10"/>
      <c r="J1134" s="10"/>
      <c r="K1134" s="10"/>
      <c r="L1134" s="10"/>
      <c r="M1134" s="10"/>
    </row>
    <row r="1135" spans="3:13">
      <c r="C1135" s="10"/>
      <c r="H1135" s="10"/>
      <c r="J1135" s="10"/>
      <c r="K1135" s="10"/>
      <c r="L1135" s="10"/>
      <c r="M1135" s="10"/>
    </row>
    <row r="1136" spans="3:13">
      <c r="C1136" s="10"/>
      <c r="H1136" s="10"/>
      <c r="J1136" s="10"/>
      <c r="K1136" s="10"/>
      <c r="L1136" s="10"/>
      <c r="M1136" s="10"/>
    </row>
    <row r="1137" spans="3:13">
      <c r="C1137" s="10"/>
      <c r="H1137" s="10"/>
      <c r="J1137" s="10"/>
      <c r="K1137" s="10"/>
      <c r="L1137" s="10"/>
      <c r="M1137" s="10"/>
    </row>
    <row r="1138" spans="3:13">
      <c r="C1138" s="10"/>
      <c r="H1138" s="10"/>
      <c r="J1138" s="10"/>
      <c r="K1138" s="10"/>
      <c r="L1138" s="10"/>
      <c r="M1138" s="10"/>
    </row>
    <row r="1139" spans="3:13">
      <c r="C1139" s="10"/>
      <c r="H1139" s="10"/>
      <c r="J1139" s="10"/>
      <c r="K1139" s="10"/>
      <c r="L1139" s="10"/>
      <c r="M1139" s="10"/>
    </row>
    <row r="1140" spans="3:13">
      <c r="C1140" s="10"/>
      <c r="H1140" s="10"/>
      <c r="J1140" s="10"/>
      <c r="K1140" s="10"/>
      <c r="L1140" s="10"/>
      <c r="M1140" s="10"/>
    </row>
    <row r="1141" spans="3:13">
      <c r="C1141" s="10"/>
      <c r="H1141" s="10"/>
      <c r="J1141" s="10"/>
      <c r="K1141" s="10"/>
      <c r="L1141" s="10"/>
      <c r="M1141" s="10"/>
    </row>
    <row r="1142" spans="3:13">
      <c r="C1142" s="10"/>
      <c r="H1142" s="10"/>
      <c r="J1142" s="10"/>
      <c r="K1142" s="10"/>
      <c r="L1142" s="10"/>
      <c r="M1142" s="10"/>
    </row>
    <row r="1143" spans="3:13">
      <c r="C1143" s="10"/>
      <c r="H1143" s="10"/>
      <c r="J1143" s="10"/>
      <c r="K1143" s="10"/>
      <c r="L1143" s="10"/>
      <c r="M1143" s="10"/>
    </row>
    <row r="1144" spans="3:13">
      <c r="C1144" s="10"/>
      <c r="H1144" s="10"/>
      <c r="J1144" s="10"/>
      <c r="K1144" s="10"/>
      <c r="L1144" s="10"/>
      <c r="M1144" s="10"/>
    </row>
    <row r="1145" spans="3:13">
      <c r="C1145" s="10"/>
      <c r="H1145" s="10"/>
      <c r="J1145" s="10"/>
      <c r="K1145" s="10"/>
      <c r="L1145" s="10"/>
      <c r="M1145" s="10"/>
    </row>
    <row r="1146" spans="3:13">
      <c r="C1146" s="10"/>
      <c r="H1146" s="10"/>
      <c r="J1146" s="10"/>
      <c r="K1146" s="10"/>
      <c r="L1146" s="10"/>
      <c r="M1146" s="10"/>
    </row>
    <row r="1147" spans="3:13">
      <c r="C1147" s="10"/>
      <c r="H1147" s="10"/>
      <c r="J1147" s="10"/>
      <c r="K1147" s="10"/>
      <c r="L1147" s="10"/>
      <c r="M1147" s="10"/>
    </row>
    <row r="1148" spans="3:13">
      <c r="C1148" s="10"/>
      <c r="H1148" s="10"/>
      <c r="J1148" s="10"/>
      <c r="K1148" s="10"/>
      <c r="L1148" s="10"/>
      <c r="M1148" s="10"/>
    </row>
    <row r="1149" spans="3:13">
      <c r="C1149" s="10"/>
      <c r="H1149" s="10"/>
      <c r="J1149" s="10"/>
      <c r="K1149" s="10"/>
      <c r="L1149" s="10"/>
      <c r="M1149" s="10"/>
    </row>
    <row r="1150" spans="3:13">
      <c r="C1150" s="10"/>
      <c r="H1150" s="10"/>
      <c r="J1150" s="10"/>
      <c r="K1150" s="10"/>
      <c r="L1150" s="10"/>
      <c r="M1150" s="10"/>
    </row>
    <row r="1151" spans="3:13">
      <c r="C1151" s="10"/>
      <c r="H1151" s="10"/>
      <c r="J1151" s="10"/>
      <c r="K1151" s="10"/>
      <c r="L1151" s="10"/>
      <c r="M1151" s="10"/>
    </row>
    <row r="1152" spans="3:13">
      <c r="C1152" s="10"/>
      <c r="H1152" s="10"/>
      <c r="J1152" s="10"/>
      <c r="K1152" s="10"/>
      <c r="L1152" s="10"/>
      <c r="M1152" s="10"/>
    </row>
    <row r="1153" spans="3:13">
      <c r="C1153" s="10"/>
      <c r="H1153" s="10"/>
      <c r="J1153" s="10"/>
      <c r="K1153" s="10"/>
      <c r="L1153" s="10"/>
      <c r="M1153" s="10"/>
    </row>
    <row r="1154" spans="3:13">
      <c r="C1154" s="10"/>
      <c r="H1154" s="10"/>
      <c r="J1154" s="10"/>
      <c r="K1154" s="10"/>
      <c r="L1154" s="10"/>
      <c r="M1154" s="10"/>
    </row>
    <row r="1155" spans="3:13">
      <c r="C1155" s="10"/>
      <c r="H1155" s="10"/>
      <c r="J1155" s="10"/>
      <c r="K1155" s="10"/>
      <c r="L1155" s="10"/>
      <c r="M1155" s="10"/>
    </row>
    <row r="1156" spans="3:13">
      <c r="C1156" s="10"/>
      <c r="H1156" s="10"/>
      <c r="J1156" s="10"/>
      <c r="K1156" s="10"/>
      <c r="L1156" s="10"/>
      <c r="M1156" s="10"/>
    </row>
    <row r="1157" spans="3:13">
      <c r="C1157" s="10"/>
      <c r="H1157" s="10"/>
      <c r="J1157" s="10"/>
      <c r="K1157" s="10"/>
      <c r="L1157" s="10"/>
      <c r="M1157" s="10"/>
    </row>
    <row r="1158" spans="3:13">
      <c r="C1158" s="10"/>
      <c r="H1158" s="10"/>
      <c r="J1158" s="10"/>
      <c r="K1158" s="10"/>
      <c r="L1158" s="10"/>
      <c r="M1158" s="10"/>
    </row>
    <row r="1159" spans="3:13">
      <c r="C1159" s="10"/>
      <c r="H1159" s="10"/>
      <c r="J1159" s="10"/>
      <c r="K1159" s="10"/>
      <c r="L1159" s="10"/>
      <c r="M1159" s="10"/>
    </row>
    <row r="1160" spans="3:13">
      <c r="C1160" s="10"/>
      <c r="H1160" s="10"/>
      <c r="J1160" s="10"/>
      <c r="K1160" s="10"/>
      <c r="L1160" s="10"/>
      <c r="M1160" s="10"/>
    </row>
    <row r="1161" spans="3:13">
      <c r="C1161" s="10"/>
      <c r="H1161" s="10"/>
      <c r="J1161" s="10"/>
      <c r="K1161" s="10"/>
      <c r="L1161" s="10"/>
      <c r="M1161" s="10"/>
    </row>
    <row r="1162" spans="3:13">
      <c r="C1162" s="10"/>
      <c r="H1162" s="10"/>
      <c r="J1162" s="10"/>
      <c r="K1162" s="10"/>
      <c r="L1162" s="10"/>
      <c r="M1162" s="10"/>
    </row>
    <row r="1163" spans="3:13">
      <c r="C1163" s="10"/>
      <c r="H1163" s="10"/>
      <c r="J1163" s="10"/>
      <c r="K1163" s="10"/>
      <c r="L1163" s="10"/>
      <c r="M1163" s="10"/>
    </row>
    <row r="1164" spans="3:13">
      <c r="C1164" s="10"/>
      <c r="H1164" s="10"/>
      <c r="J1164" s="10"/>
      <c r="K1164" s="10"/>
      <c r="L1164" s="10"/>
      <c r="M1164" s="10"/>
    </row>
    <row r="1165" spans="3:13">
      <c r="C1165" s="10"/>
      <c r="H1165" s="10"/>
      <c r="J1165" s="10"/>
      <c r="K1165" s="10"/>
      <c r="L1165" s="10"/>
      <c r="M1165" s="10"/>
    </row>
    <row r="1166" spans="3:13">
      <c r="C1166" s="10"/>
      <c r="H1166" s="10"/>
      <c r="J1166" s="10"/>
      <c r="K1166" s="10"/>
      <c r="L1166" s="10"/>
      <c r="M1166" s="10"/>
    </row>
    <row r="1167" spans="3:13">
      <c r="C1167" s="10"/>
      <c r="H1167" s="10"/>
      <c r="J1167" s="10"/>
      <c r="K1167" s="10"/>
      <c r="L1167" s="10"/>
      <c r="M1167" s="10"/>
    </row>
    <row r="1168" spans="3:13">
      <c r="C1168" s="10"/>
      <c r="H1168" s="10"/>
      <c r="J1168" s="10"/>
      <c r="K1168" s="10"/>
      <c r="L1168" s="10"/>
      <c r="M1168" s="10"/>
    </row>
    <row r="1169" spans="3:13">
      <c r="C1169" s="10"/>
      <c r="H1169" s="10"/>
      <c r="J1169" s="10"/>
      <c r="K1169" s="10"/>
      <c r="L1169" s="10"/>
      <c r="M1169" s="10"/>
    </row>
    <row r="1170" spans="3:13">
      <c r="C1170" s="10"/>
      <c r="H1170" s="10"/>
      <c r="J1170" s="10"/>
      <c r="K1170" s="10"/>
      <c r="L1170" s="10"/>
      <c r="M1170" s="10"/>
    </row>
    <row r="1171" spans="3:13">
      <c r="C1171" s="10"/>
      <c r="H1171" s="10"/>
      <c r="J1171" s="10"/>
      <c r="K1171" s="10"/>
      <c r="L1171" s="10"/>
      <c r="M1171" s="10"/>
    </row>
    <row r="1172" spans="3:13">
      <c r="C1172" s="10"/>
      <c r="H1172" s="10"/>
      <c r="J1172" s="10"/>
      <c r="K1172" s="10"/>
      <c r="L1172" s="10"/>
      <c r="M1172" s="10"/>
    </row>
    <row r="1173" spans="3:13">
      <c r="C1173" s="10"/>
      <c r="H1173" s="10"/>
      <c r="J1173" s="10"/>
      <c r="K1173" s="10"/>
      <c r="L1173" s="10"/>
      <c r="M1173" s="10"/>
    </row>
    <row r="1174" spans="3:13">
      <c r="C1174" s="10"/>
      <c r="H1174" s="10"/>
      <c r="J1174" s="10"/>
      <c r="K1174" s="10"/>
      <c r="L1174" s="10"/>
      <c r="M1174" s="10"/>
    </row>
    <row r="1175" spans="3:13">
      <c r="C1175" s="10"/>
      <c r="H1175" s="10"/>
      <c r="J1175" s="10"/>
      <c r="K1175" s="10"/>
      <c r="L1175" s="10"/>
      <c r="M1175" s="10"/>
    </row>
    <row r="2156" spans="3:13">
      <c r="C2156" s="10"/>
      <c r="E2156" s="72"/>
      <c r="H2156" s="10"/>
      <c r="J2156" s="10"/>
      <c r="K2156" s="10"/>
      <c r="L2156" s="10"/>
      <c r="M2156" s="10"/>
    </row>
  </sheetData>
  <mergeCells count="208">
    <mergeCell ref="I131:I132"/>
    <mergeCell ref="J131:J132"/>
    <mergeCell ref="K131:K132"/>
    <mergeCell ref="L131:L132"/>
    <mergeCell ref="M131:M132"/>
    <mergeCell ref="N131:N132"/>
    <mergeCell ref="E129:E130"/>
    <mergeCell ref="D129:D130"/>
    <mergeCell ref="C129:C130"/>
    <mergeCell ref="C131:C132"/>
    <mergeCell ref="D131:D132"/>
    <mergeCell ref="E131:E132"/>
    <mergeCell ref="F131:F132"/>
    <mergeCell ref="G131:G132"/>
    <mergeCell ref="H131:H132"/>
    <mergeCell ref="L138:L139"/>
    <mergeCell ref="M138:M139"/>
    <mergeCell ref="N138:N139"/>
    <mergeCell ref="C127:C128"/>
    <mergeCell ref="D127:D128"/>
    <mergeCell ref="E127:E128"/>
    <mergeCell ref="F127:F128"/>
    <mergeCell ref="G127:G128"/>
    <mergeCell ref="H127:H128"/>
    <mergeCell ref="I127:I128"/>
    <mergeCell ref="J127:J128"/>
    <mergeCell ref="K127:K128"/>
    <mergeCell ref="L127:L128"/>
    <mergeCell ref="M127:M128"/>
    <mergeCell ref="N127:N128"/>
    <mergeCell ref="N129:N130"/>
    <mergeCell ref="M129:M130"/>
    <mergeCell ref="L129:L130"/>
    <mergeCell ref="K129:K130"/>
    <mergeCell ref="J129:J130"/>
    <mergeCell ref="I129:I130"/>
    <mergeCell ref="H129:H130"/>
    <mergeCell ref="G129:G130"/>
    <mergeCell ref="F129:F130"/>
    <mergeCell ref="C138:C139"/>
    <mergeCell ref="D138:D139"/>
    <mergeCell ref="E138:E139"/>
    <mergeCell ref="F138:F139"/>
    <mergeCell ref="G138:G139"/>
    <mergeCell ref="H138:H139"/>
    <mergeCell ref="I138:I139"/>
    <mergeCell ref="J138:J139"/>
    <mergeCell ref="K138:K139"/>
    <mergeCell ref="L134:L135"/>
    <mergeCell ref="M134:M135"/>
    <mergeCell ref="N134:N135"/>
    <mergeCell ref="C136:C137"/>
    <mergeCell ref="D136:D137"/>
    <mergeCell ref="E136:E137"/>
    <mergeCell ref="F136:F137"/>
    <mergeCell ref="G136:G137"/>
    <mergeCell ref="H136:H137"/>
    <mergeCell ref="I136:I137"/>
    <mergeCell ref="J136:J137"/>
    <mergeCell ref="K136:K137"/>
    <mergeCell ref="L136:L137"/>
    <mergeCell ref="M136:M137"/>
    <mergeCell ref="N136:N137"/>
    <mergeCell ref="C134:C135"/>
    <mergeCell ref="D134:D135"/>
    <mergeCell ref="E134:E135"/>
    <mergeCell ref="F134:F135"/>
    <mergeCell ref="G134:G135"/>
    <mergeCell ref="H134:H135"/>
    <mergeCell ref="I134:I135"/>
    <mergeCell ref="J134:J135"/>
    <mergeCell ref="K134:K135"/>
    <mergeCell ref="IO80:IR80"/>
    <mergeCell ref="IS80:IV80"/>
    <mergeCell ref="A81:B82"/>
    <mergeCell ref="A127:B127"/>
    <mergeCell ref="A138:B138"/>
    <mergeCell ref="HQ80:HT80"/>
    <mergeCell ref="HU80:HX80"/>
    <mergeCell ref="HY80:IB80"/>
    <mergeCell ref="IC80:IF80"/>
    <mergeCell ref="IG80:IJ80"/>
    <mergeCell ref="IK80:IN80"/>
    <mergeCell ref="GS80:GV80"/>
    <mergeCell ref="GW80:GZ80"/>
    <mergeCell ref="HA80:HD80"/>
    <mergeCell ref="HE80:HH80"/>
    <mergeCell ref="HI80:HL80"/>
    <mergeCell ref="HM80:HP80"/>
    <mergeCell ref="FU80:FX80"/>
    <mergeCell ref="FY80:GB80"/>
    <mergeCell ref="GC80:GF80"/>
    <mergeCell ref="GG80:GJ80"/>
    <mergeCell ref="GK80:GN80"/>
    <mergeCell ref="GO80:GR80"/>
    <mergeCell ref="EW80:EZ80"/>
    <mergeCell ref="FA80:FD80"/>
    <mergeCell ref="FE80:FH80"/>
    <mergeCell ref="FI80:FL80"/>
    <mergeCell ref="FM80:FP80"/>
    <mergeCell ref="FQ80:FT80"/>
    <mergeCell ref="DY80:EB80"/>
    <mergeCell ref="EC80:EF80"/>
    <mergeCell ref="EG80:EJ80"/>
    <mergeCell ref="EK80:EN80"/>
    <mergeCell ref="EO80:ER80"/>
    <mergeCell ref="ES80:EV80"/>
    <mergeCell ref="DA80:DD80"/>
    <mergeCell ref="DE80:DH80"/>
    <mergeCell ref="DI80:DL80"/>
    <mergeCell ref="DM80:DP80"/>
    <mergeCell ref="DQ80:DT80"/>
    <mergeCell ref="DU80:DX80"/>
    <mergeCell ref="CC80:CF80"/>
    <mergeCell ref="CG80:CJ80"/>
    <mergeCell ref="CK80:CN80"/>
    <mergeCell ref="CO80:CR80"/>
    <mergeCell ref="CS80:CV80"/>
    <mergeCell ref="CW80:CZ80"/>
    <mergeCell ref="BM80:BP80"/>
    <mergeCell ref="BQ80:BT80"/>
    <mergeCell ref="BU80:BX80"/>
    <mergeCell ref="BY80:CB80"/>
    <mergeCell ref="AG80:AJ80"/>
    <mergeCell ref="AK80:AN80"/>
    <mergeCell ref="AO80:AR80"/>
    <mergeCell ref="AS80:AV80"/>
    <mergeCell ref="AW80:AZ80"/>
    <mergeCell ref="BA80:BD80"/>
    <mergeCell ref="IG78:IJ78"/>
    <mergeCell ref="IK78:IN78"/>
    <mergeCell ref="IO78:IR78"/>
    <mergeCell ref="IS78:IV78"/>
    <mergeCell ref="Q80:T80"/>
    <mergeCell ref="U80:X80"/>
    <mergeCell ref="Y80:AB80"/>
    <mergeCell ref="AC80:AF80"/>
    <mergeCell ref="HI78:HL78"/>
    <mergeCell ref="HM78:HP78"/>
    <mergeCell ref="HQ78:HT78"/>
    <mergeCell ref="HU78:HX78"/>
    <mergeCell ref="HY78:IB78"/>
    <mergeCell ref="IC78:IF78"/>
    <mergeCell ref="GK78:GN78"/>
    <mergeCell ref="GO78:GR78"/>
    <mergeCell ref="GS78:GV78"/>
    <mergeCell ref="GW78:GZ78"/>
    <mergeCell ref="HA78:HD78"/>
    <mergeCell ref="HE78:HH78"/>
    <mergeCell ref="FM78:FP78"/>
    <mergeCell ref="FQ78:FT78"/>
    <mergeCell ref="BE80:BH80"/>
    <mergeCell ref="BI80:BL80"/>
    <mergeCell ref="FU78:FX78"/>
    <mergeCell ref="FY78:GB78"/>
    <mergeCell ref="GC78:GF78"/>
    <mergeCell ref="GG78:GJ78"/>
    <mergeCell ref="EO78:ER78"/>
    <mergeCell ref="ES78:EV78"/>
    <mergeCell ref="EW78:EZ78"/>
    <mergeCell ref="FA78:FD78"/>
    <mergeCell ref="FE78:FH78"/>
    <mergeCell ref="FI78:FL78"/>
    <mergeCell ref="DQ78:DT78"/>
    <mergeCell ref="DU78:DX78"/>
    <mergeCell ref="DY78:EB78"/>
    <mergeCell ref="EC78:EF78"/>
    <mergeCell ref="EG78:EJ78"/>
    <mergeCell ref="EK78:EN78"/>
    <mergeCell ref="CS78:CV78"/>
    <mergeCell ref="CW78:CZ78"/>
    <mergeCell ref="DA78:DD78"/>
    <mergeCell ref="DE78:DH78"/>
    <mergeCell ref="DI78:DL78"/>
    <mergeCell ref="DM78:DP78"/>
    <mergeCell ref="BU78:BX78"/>
    <mergeCell ref="BY78:CB78"/>
    <mergeCell ref="CC78:CF78"/>
    <mergeCell ref="CG78:CJ78"/>
    <mergeCell ref="CK78:CN78"/>
    <mergeCell ref="CO78:CR78"/>
    <mergeCell ref="AW78:AZ78"/>
    <mergeCell ref="BA78:BD78"/>
    <mergeCell ref="BE78:BH78"/>
    <mergeCell ref="BI78:BL78"/>
    <mergeCell ref="BM78:BP78"/>
    <mergeCell ref="BQ78:BT78"/>
    <mergeCell ref="A1:B3"/>
    <mergeCell ref="C2:C3"/>
    <mergeCell ref="Y78:AB78"/>
    <mergeCell ref="AC78:AF78"/>
    <mergeCell ref="AG78:AJ78"/>
    <mergeCell ref="AK78:AN78"/>
    <mergeCell ref="AO78:AR78"/>
    <mergeCell ref="AS78:AV78"/>
    <mergeCell ref="Q78:T78"/>
    <mergeCell ref="U78:X78"/>
    <mergeCell ref="D2:D3"/>
    <mergeCell ref="E2:E3"/>
    <mergeCell ref="F2:F3"/>
    <mergeCell ref="G2:G3"/>
    <mergeCell ref="N2:N3"/>
    <mergeCell ref="H2:H3"/>
    <mergeCell ref="I2:I3"/>
    <mergeCell ref="J2:J3"/>
    <mergeCell ref="K2:K3"/>
    <mergeCell ref="L2:L3"/>
    <mergeCell ref="M2:M3"/>
  </mergeCells>
  <conditionalFormatting sqref="C127:I128 L127:N128">
    <cfRule type="cellIs" dxfId="50" priority="6" operator="lessThan">
      <formula>0</formula>
    </cfRule>
  </conditionalFormatting>
  <conditionalFormatting sqref="J127:J128">
    <cfRule type="cellIs" dxfId="49" priority="5" operator="lessThan">
      <formula>0</formula>
    </cfRule>
  </conditionalFormatting>
  <conditionalFormatting sqref="C69:J69 N69 L69">
    <cfRule type="cellIs" dxfId="48" priority="4" operator="lessThan">
      <formula>0</formula>
    </cfRule>
  </conditionalFormatting>
  <conditionalFormatting sqref="M69">
    <cfRule type="cellIs" dxfId="47" priority="3" operator="lessThan">
      <formula>0</formula>
    </cfRule>
  </conditionalFormatting>
  <conditionalFormatting sqref="K127:K128">
    <cfRule type="cellIs" dxfId="46" priority="2" operator="lessThan">
      <formula>0</formula>
    </cfRule>
  </conditionalFormatting>
  <conditionalFormatting sqref="K69">
    <cfRule type="cellIs" dxfId="45" priority="1" operator="lessThan">
      <formula>0</formula>
    </cfRule>
  </conditionalFormatting>
  <printOptions horizontalCentered="1"/>
  <pageMargins left="0.25" right="0.25" top="0.75" bottom="0.75" header="0.3" footer="0.3"/>
  <pageSetup scale="63" fitToWidth="2" fitToHeight="2" orientation="portrait" r:id="rId1"/>
  <headerFooter alignWithMargins="0">
    <oddHeader>&amp;C&amp;"Arial,Bold"&amp;14CLASS I FAIRS</oddHeader>
    <oddFooter>&amp;CFairs and Expositions</oddFooter>
    <firstFooter>&amp;CDivision of Fairs and Expositions</firstFooter>
  </headerFooter>
  <rowBreaks count="1" manualBreakCount="1">
    <brk id="80" max="1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9"/>
  <sheetViews>
    <sheetView view="pageBreakPreview" zoomScale="85" zoomScaleNormal="10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C142" sqref="C142"/>
    </sheetView>
  </sheetViews>
  <sheetFormatPr defaultRowHeight="12.75"/>
  <cols>
    <col min="1" max="1" width="4.7109375" style="10" customWidth="1"/>
    <col min="2" max="2" width="56.42578125" style="10" customWidth="1"/>
    <col min="3" max="10" width="12.7109375" style="10" customWidth="1"/>
    <col min="11" max="11" width="12.7109375" style="48" customWidth="1"/>
    <col min="12" max="12" width="13.7109375" style="10" customWidth="1"/>
    <col min="13" max="13" width="13.85546875" style="10" customWidth="1"/>
    <col min="14" max="16384" width="9.140625" style="10"/>
  </cols>
  <sheetData>
    <row r="1" spans="1:13" ht="12" customHeight="1">
      <c r="A1" s="318"/>
      <c r="B1" s="319"/>
      <c r="C1" s="260"/>
      <c r="D1" s="260"/>
      <c r="E1" s="260"/>
      <c r="F1" s="260"/>
      <c r="G1" s="260"/>
      <c r="H1" s="260"/>
      <c r="I1" s="260"/>
      <c r="J1" s="260"/>
      <c r="K1" s="260"/>
    </row>
    <row r="2" spans="1:13" ht="12" customHeight="1">
      <c r="A2" s="320"/>
      <c r="B2" s="321"/>
      <c r="C2" s="327" t="s">
        <v>128</v>
      </c>
      <c r="D2" s="327" t="s">
        <v>129</v>
      </c>
      <c r="E2" s="327" t="s">
        <v>130</v>
      </c>
      <c r="F2" s="327" t="s">
        <v>131</v>
      </c>
      <c r="G2" s="324" t="s">
        <v>132</v>
      </c>
      <c r="H2" s="327" t="s">
        <v>133</v>
      </c>
      <c r="I2" s="324" t="s">
        <v>134</v>
      </c>
      <c r="J2" s="341" t="s">
        <v>235</v>
      </c>
      <c r="K2" s="341" t="s">
        <v>236</v>
      </c>
    </row>
    <row r="3" spans="1:13" ht="69" customHeight="1">
      <c r="A3" s="322"/>
      <c r="B3" s="323"/>
      <c r="C3" s="328"/>
      <c r="D3" s="328"/>
      <c r="E3" s="328"/>
      <c r="F3" s="328"/>
      <c r="G3" s="325"/>
      <c r="H3" s="328"/>
      <c r="I3" s="325"/>
      <c r="J3" s="342"/>
      <c r="K3" s="342"/>
      <c r="L3" s="10" t="s">
        <v>135</v>
      </c>
      <c r="M3" s="10" t="s">
        <v>39</v>
      </c>
    </row>
    <row r="4" spans="1:13" ht="13.5" customHeight="1">
      <c r="A4" s="262" t="s">
        <v>227</v>
      </c>
      <c r="B4" s="12"/>
      <c r="C4" s="38"/>
      <c r="D4" s="38"/>
      <c r="E4" s="38"/>
      <c r="F4" s="38"/>
      <c r="G4" s="38"/>
      <c r="H4" s="38"/>
      <c r="I4" s="37"/>
      <c r="J4" s="37"/>
      <c r="K4" s="39"/>
    </row>
    <row r="5" spans="1:13" ht="13.5" customHeight="1">
      <c r="A5" s="262"/>
      <c r="B5" s="12" t="s">
        <v>40</v>
      </c>
      <c r="C5" s="14">
        <v>361112</v>
      </c>
      <c r="D5" s="14">
        <v>304666</v>
      </c>
      <c r="E5" s="14">
        <v>-23763</v>
      </c>
      <c r="F5" s="14">
        <v>63292</v>
      </c>
      <c r="G5" s="14">
        <v>68729</v>
      </c>
      <c r="H5" s="14">
        <v>373529</v>
      </c>
      <c r="I5" s="14">
        <v>37193.699999999997</v>
      </c>
      <c r="J5" s="14">
        <v>54466</v>
      </c>
      <c r="K5" s="14">
        <v>-113312</v>
      </c>
    </row>
    <row r="6" spans="1:13" ht="13.5" customHeight="1">
      <c r="A6" s="262"/>
      <c r="B6" s="12" t="s">
        <v>214</v>
      </c>
      <c r="C6" s="30">
        <v>-251361</v>
      </c>
      <c r="D6" s="30">
        <v>-376014</v>
      </c>
      <c r="E6" s="30">
        <v>-362803</v>
      </c>
      <c r="F6" s="30">
        <v>-247643</v>
      </c>
      <c r="G6" s="30">
        <v>-295089.94</v>
      </c>
      <c r="H6" s="30">
        <v>-169278</v>
      </c>
      <c r="I6" s="30">
        <v>0</v>
      </c>
      <c r="J6" s="30">
        <v>0</v>
      </c>
      <c r="K6" s="30">
        <v>0</v>
      </c>
    </row>
    <row r="7" spans="1:13" ht="13.5" customHeight="1">
      <c r="A7" s="262"/>
      <c r="B7" s="12" t="s">
        <v>41</v>
      </c>
      <c r="C7" s="30">
        <v>0</v>
      </c>
      <c r="D7" s="30">
        <v>0</v>
      </c>
      <c r="E7" s="30">
        <v>0</v>
      </c>
      <c r="F7" s="30">
        <v>14497</v>
      </c>
      <c r="G7" s="30">
        <v>190</v>
      </c>
      <c r="H7" s="30">
        <v>0</v>
      </c>
      <c r="I7" s="30">
        <v>9488.77</v>
      </c>
      <c r="J7" s="30">
        <v>0</v>
      </c>
      <c r="K7" s="30">
        <v>0</v>
      </c>
    </row>
    <row r="8" spans="1:13" ht="13.5" customHeight="1">
      <c r="A8" s="262"/>
      <c r="B8" s="12" t="s">
        <v>42</v>
      </c>
      <c r="C8" s="17">
        <v>977938</v>
      </c>
      <c r="D8" s="17">
        <v>1102227</v>
      </c>
      <c r="E8" s="17">
        <v>882340</v>
      </c>
      <c r="F8" s="17">
        <v>601465</v>
      </c>
      <c r="G8" s="17">
        <v>1226917.6200000001</v>
      </c>
      <c r="H8" s="17">
        <v>1509927</v>
      </c>
      <c r="I8" s="17">
        <v>877287.4700000002</v>
      </c>
      <c r="J8" s="17">
        <v>1027319</v>
      </c>
      <c r="K8" s="17">
        <v>345631</v>
      </c>
    </row>
    <row r="9" spans="1:13" ht="13.5" customHeight="1">
      <c r="A9" s="262"/>
      <c r="B9" s="12" t="s">
        <v>226</v>
      </c>
      <c r="C9" s="74">
        <v>-3200</v>
      </c>
      <c r="D9" s="74">
        <v>0</v>
      </c>
      <c r="E9" s="74">
        <v>0</v>
      </c>
      <c r="F9" s="74">
        <v>0</v>
      </c>
      <c r="G9" s="75">
        <v>10</v>
      </c>
      <c r="H9" s="74">
        <v>-3607</v>
      </c>
      <c r="I9" s="74">
        <v>0</v>
      </c>
      <c r="J9" s="74">
        <v>0</v>
      </c>
      <c r="K9" s="74">
        <v>0</v>
      </c>
      <c r="M9" s="20">
        <f>SUM(C9:H9)</f>
        <v>-6797</v>
      </c>
    </row>
    <row r="10" spans="1:13" s="22" customFormat="1" ht="13.5" customHeight="1" thickBot="1">
      <c r="A10" s="263"/>
      <c r="B10" s="98" t="s">
        <v>43</v>
      </c>
      <c r="C10" s="67">
        <f>SUM(C5:C9)</f>
        <v>1084489</v>
      </c>
      <c r="D10" s="67">
        <f t="shared" ref="D10:K10" si="0">SUM(D5:D9)</f>
        <v>1030879</v>
      </c>
      <c r="E10" s="67">
        <f t="shared" si="0"/>
        <v>495774</v>
      </c>
      <c r="F10" s="67">
        <f t="shared" si="0"/>
        <v>431611</v>
      </c>
      <c r="G10" s="67">
        <f t="shared" si="0"/>
        <v>1000756.6800000002</v>
      </c>
      <c r="H10" s="67">
        <f t="shared" si="0"/>
        <v>1710571</v>
      </c>
      <c r="I10" s="67">
        <f t="shared" si="0"/>
        <v>923969.94000000018</v>
      </c>
      <c r="J10" s="67">
        <f t="shared" si="0"/>
        <v>1081785</v>
      </c>
      <c r="K10" s="67">
        <f t="shared" si="0"/>
        <v>232319</v>
      </c>
      <c r="M10" s="20">
        <f>SUM(C10:H10)</f>
        <v>5754080.6799999997</v>
      </c>
    </row>
    <row r="11" spans="1:13" s="22" customFormat="1" ht="13.5" customHeight="1">
      <c r="A11" s="241" t="s">
        <v>44</v>
      </c>
      <c r="B11" s="36"/>
      <c r="C11" s="42"/>
      <c r="D11" s="42"/>
      <c r="E11" s="42"/>
      <c r="F11" s="42"/>
      <c r="G11" s="42"/>
      <c r="H11" s="42"/>
      <c r="I11" s="42"/>
      <c r="J11" s="42"/>
      <c r="K11" s="42"/>
    </row>
    <row r="12" spans="1:13" s="22" customFormat="1" ht="13.5" customHeight="1">
      <c r="A12" s="264"/>
      <c r="B12" s="23" t="s">
        <v>45</v>
      </c>
      <c r="C12" s="24">
        <v>45828</v>
      </c>
      <c r="D12" s="24">
        <v>45828</v>
      </c>
      <c r="E12" s="24">
        <v>45828</v>
      </c>
      <c r="F12" s="24">
        <v>45828</v>
      </c>
      <c r="G12" s="24">
        <v>45828</v>
      </c>
      <c r="H12" s="24">
        <v>45828</v>
      </c>
      <c r="I12" s="24">
        <v>76907.58</v>
      </c>
      <c r="J12" s="24">
        <v>43656</v>
      </c>
      <c r="K12" s="24">
        <v>45828</v>
      </c>
      <c r="M12" s="20">
        <f>SUM(C12:H12)</f>
        <v>274968</v>
      </c>
    </row>
    <row r="13" spans="1:13" s="22" customFormat="1" ht="13.5" customHeight="1">
      <c r="A13" s="264"/>
      <c r="B13" s="23" t="s">
        <v>46</v>
      </c>
      <c r="C13" s="24">
        <v>160506</v>
      </c>
      <c r="D13" s="24">
        <v>166318.68</v>
      </c>
      <c r="E13" s="24">
        <v>21584</v>
      </c>
      <c r="F13" s="24">
        <v>95599.6</v>
      </c>
      <c r="G13" s="24">
        <v>36309.75</v>
      </c>
      <c r="H13" s="24">
        <v>233414.63</v>
      </c>
      <c r="I13" s="24">
        <v>166897.32999999999</v>
      </c>
      <c r="J13" s="24">
        <v>0</v>
      </c>
      <c r="K13" s="24">
        <v>0</v>
      </c>
      <c r="M13" s="20">
        <f>SUM(C13:H13)</f>
        <v>713732.66</v>
      </c>
    </row>
    <row r="14" spans="1:13" s="22" customFormat="1" ht="13.5" customHeight="1" thickBot="1">
      <c r="A14" s="265"/>
      <c r="B14" s="32" t="s">
        <v>47</v>
      </c>
      <c r="C14" s="33">
        <v>0</v>
      </c>
      <c r="D14" s="33">
        <f>2813.4+41338.78+1548.52</f>
        <v>45700.7</v>
      </c>
      <c r="E14" s="33">
        <f>3308+200492+250000+28416</f>
        <v>482216</v>
      </c>
      <c r="F14" s="33">
        <v>2333.6</v>
      </c>
      <c r="G14" s="33">
        <f>86250+1197.67+1215</f>
        <v>88662.67</v>
      </c>
      <c r="H14" s="33">
        <f>1668+372340.78+35533.54</f>
        <v>409542.32</v>
      </c>
      <c r="I14" s="33">
        <v>0</v>
      </c>
      <c r="J14" s="33">
        <v>126765</v>
      </c>
      <c r="K14" s="33">
        <v>119783</v>
      </c>
      <c r="M14" s="20">
        <f>SUM(C14:H14)</f>
        <v>1028455.29</v>
      </c>
    </row>
    <row r="15" spans="1:13" ht="13.5" customHeight="1">
      <c r="A15" s="266" t="s">
        <v>48</v>
      </c>
      <c r="B15" s="25"/>
      <c r="C15" s="27"/>
      <c r="D15" s="27"/>
      <c r="E15" s="27"/>
      <c r="F15" s="27"/>
      <c r="G15" s="27"/>
      <c r="H15" s="27"/>
      <c r="I15" s="27"/>
      <c r="J15" s="27"/>
      <c r="K15" s="28"/>
    </row>
    <row r="16" spans="1:13" ht="13.5" customHeight="1">
      <c r="A16" s="267"/>
      <c r="B16" s="29" t="s">
        <v>49</v>
      </c>
      <c r="C16" s="30">
        <v>64290</v>
      </c>
      <c r="D16" s="30">
        <v>119159</v>
      </c>
      <c r="E16" s="30">
        <v>120551</v>
      </c>
      <c r="F16" s="30">
        <v>115213.78</v>
      </c>
      <c r="G16" s="30">
        <v>108204.15</v>
      </c>
      <c r="H16" s="30">
        <v>176094</v>
      </c>
      <c r="I16" s="30">
        <v>115065.28</v>
      </c>
      <c r="J16" s="30">
        <v>78259</v>
      </c>
      <c r="K16" s="19">
        <v>29480</v>
      </c>
    </row>
    <row r="17" spans="1:15" ht="13.5" customHeight="1">
      <c r="A17" s="267"/>
      <c r="B17" s="29" t="s">
        <v>50</v>
      </c>
      <c r="C17" s="30">
        <v>8407</v>
      </c>
      <c r="D17" s="30">
        <v>6515</v>
      </c>
      <c r="E17" s="30">
        <v>17196.07</v>
      </c>
      <c r="F17" s="30">
        <v>14591.11</v>
      </c>
      <c r="G17" s="30">
        <v>14820</v>
      </c>
      <c r="H17" s="30">
        <v>26235</v>
      </c>
      <c r="I17" s="30">
        <v>21136.75</v>
      </c>
      <c r="J17" s="30">
        <v>12445</v>
      </c>
      <c r="K17" s="19">
        <v>242015</v>
      </c>
    </row>
    <row r="18" spans="1:15" ht="13.5" customHeight="1">
      <c r="A18" s="267"/>
      <c r="B18" s="29" t="s">
        <v>51</v>
      </c>
      <c r="C18" s="30">
        <v>0</v>
      </c>
      <c r="D18" s="30">
        <v>0</v>
      </c>
      <c r="E18" s="30">
        <v>96426</v>
      </c>
      <c r="F18" s="30">
        <v>0</v>
      </c>
      <c r="G18" s="30">
        <v>0</v>
      </c>
      <c r="H18" s="30">
        <v>78954.55</v>
      </c>
      <c r="I18" s="30">
        <v>69585</v>
      </c>
      <c r="J18" s="30">
        <v>0</v>
      </c>
      <c r="K18" s="19">
        <v>44426</v>
      </c>
    </row>
    <row r="19" spans="1:15" ht="13.5" customHeight="1">
      <c r="A19" s="267"/>
      <c r="B19" s="29" t="s">
        <v>52</v>
      </c>
      <c r="C19" s="30">
        <v>43176</v>
      </c>
      <c r="D19" s="30">
        <v>97260.77</v>
      </c>
      <c r="E19" s="30">
        <v>34320</v>
      </c>
      <c r="F19" s="30">
        <v>122633.02</v>
      </c>
      <c r="G19" s="30">
        <v>100493.91</v>
      </c>
      <c r="H19" s="30">
        <v>76862.7</v>
      </c>
      <c r="I19" s="30">
        <v>45217.91</v>
      </c>
      <c r="J19" s="30">
        <v>105065</v>
      </c>
      <c r="K19" s="19">
        <v>35425</v>
      </c>
    </row>
    <row r="20" spans="1:15" ht="13.5" customHeight="1">
      <c r="A20" s="267"/>
      <c r="B20" s="29" t="s">
        <v>53</v>
      </c>
      <c r="C20" s="30">
        <v>10591</v>
      </c>
      <c r="D20" s="30">
        <v>8217.2999999999993</v>
      </c>
      <c r="E20" s="30">
        <v>3471</v>
      </c>
      <c r="F20" s="30">
        <v>16877.23</v>
      </c>
      <c r="G20" s="30">
        <v>27316.91</v>
      </c>
      <c r="H20" s="30">
        <v>24899.97</v>
      </c>
      <c r="I20" s="30">
        <v>9993</v>
      </c>
      <c r="J20" s="30">
        <v>8643</v>
      </c>
      <c r="K20" s="19">
        <v>5922</v>
      </c>
    </row>
    <row r="21" spans="1:15" ht="13.5" customHeight="1">
      <c r="A21" s="267"/>
      <c r="B21" s="29" t="s">
        <v>54</v>
      </c>
      <c r="C21" s="30">
        <v>0</v>
      </c>
      <c r="D21" s="30">
        <v>16036.94</v>
      </c>
      <c r="E21" s="30">
        <v>9665.93</v>
      </c>
      <c r="F21" s="30">
        <v>0</v>
      </c>
      <c r="G21" s="30">
        <v>0</v>
      </c>
      <c r="H21" s="30">
        <v>30</v>
      </c>
      <c r="I21" s="30">
        <v>0</v>
      </c>
      <c r="J21" s="30">
        <v>11013</v>
      </c>
      <c r="K21" s="19">
        <v>11009</v>
      </c>
    </row>
    <row r="22" spans="1:15" ht="13.5" customHeight="1">
      <c r="A22" s="267"/>
      <c r="B22" s="29" t="s">
        <v>55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19">
        <v>0</v>
      </c>
    </row>
    <row r="23" spans="1:15" ht="13.5" customHeight="1">
      <c r="A23" s="267"/>
      <c r="B23" s="29" t="s">
        <v>56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19">
        <v>0</v>
      </c>
    </row>
    <row r="24" spans="1:15" ht="13.5" customHeight="1">
      <c r="A24" s="267"/>
      <c r="B24" s="29" t="s">
        <v>57</v>
      </c>
      <c r="C24" s="30">
        <v>15668</v>
      </c>
      <c r="D24" s="30">
        <v>44418</v>
      </c>
      <c r="E24" s="30">
        <v>45390</v>
      </c>
      <c r="F24" s="30">
        <v>0</v>
      </c>
      <c r="G24" s="30">
        <v>33382.92</v>
      </c>
      <c r="H24" s="30">
        <v>0</v>
      </c>
      <c r="I24" s="30">
        <v>40622.370000000003</v>
      </c>
      <c r="J24" s="30">
        <v>53081</v>
      </c>
      <c r="K24" s="19">
        <v>0</v>
      </c>
    </row>
    <row r="25" spans="1:15" ht="13.5" customHeight="1">
      <c r="A25" s="267"/>
      <c r="B25" s="29" t="s">
        <v>58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24995.52</v>
      </c>
      <c r="I25" s="30">
        <v>0</v>
      </c>
      <c r="J25" s="30">
        <v>0</v>
      </c>
      <c r="K25" s="19">
        <v>3675</v>
      </c>
    </row>
    <row r="26" spans="1:15" ht="13.5" customHeight="1">
      <c r="A26" s="267"/>
      <c r="B26" s="29" t="s">
        <v>59</v>
      </c>
      <c r="C26" s="30">
        <v>0</v>
      </c>
      <c r="D26" s="30">
        <v>0</v>
      </c>
      <c r="E26" s="30">
        <v>0</v>
      </c>
      <c r="F26" s="30">
        <v>0</v>
      </c>
      <c r="G26" s="30">
        <v>20155.650000000001</v>
      </c>
      <c r="H26" s="30">
        <v>0</v>
      </c>
      <c r="I26" s="30">
        <v>0</v>
      </c>
      <c r="J26" s="30">
        <v>62301</v>
      </c>
      <c r="K26" s="19">
        <v>7605</v>
      </c>
    </row>
    <row r="27" spans="1:15" ht="13.5" customHeight="1">
      <c r="A27" s="267"/>
      <c r="B27" s="29" t="s">
        <v>60</v>
      </c>
      <c r="C27" s="30">
        <v>59789</v>
      </c>
      <c r="D27" s="30">
        <v>28382.400000000001</v>
      </c>
      <c r="E27" s="30">
        <v>13601</v>
      </c>
      <c r="F27" s="30">
        <v>95928.94</v>
      </c>
      <c r="G27" s="30">
        <v>29395</v>
      </c>
      <c r="H27" s="30">
        <v>70255</v>
      </c>
      <c r="I27" s="30">
        <v>0</v>
      </c>
      <c r="J27" s="30">
        <v>32777</v>
      </c>
      <c r="K27" s="19">
        <v>13745</v>
      </c>
    </row>
    <row r="28" spans="1:15" ht="13.5" customHeight="1">
      <c r="A28" s="267"/>
      <c r="B28" s="29" t="s">
        <v>61</v>
      </c>
      <c r="C28" s="30">
        <v>0</v>
      </c>
      <c r="D28" s="30">
        <v>0</v>
      </c>
      <c r="E28" s="30">
        <v>0</v>
      </c>
      <c r="F28" s="30">
        <v>0</v>
      </c>
      <c r="G28" s="30">
        <v>307813.90000000002</v>
      </c>
      <c r="H28" s="30">
        <v>0</v>
      </c>
      <c r="I28" s="30">
        <v>86166.81</v>
      </c>
      <c r="J28" s="30">
        <v>36485</v>
      </c>
      <c r="K28" s="19">
        <v>26847</v>
      </c>
    </row>
    <row r="29" spans="1:15" ht="13.5" customHeight="1">
      <c r="A29" s="267"/>
      <c r="B29" s="29" t="s">
        <v>62</v>
      </c>
      <c r="C29" s="30">
        <v>242951</v>
      </c>
      <c r="D29" s="30">
        <v>377743.81</v>
      </c>
      <c r="E29" s="30">
        <v>254606.2</v>
      </c>
      <c r="F29" s="30">
        <v>304136.17</v>
      </c>
      <c r="G29" s="30">
        <v>192835.12</v>
      </c>
      <c r="H29" s="30">
        <v>108202.5</v>
      </c>
      <c r="I29" s="30">
        <v>280616.81</v>
      </c>
      <c r="J29" s="30">
        <v>131186</v>
      </c>
      <c r="K29" s="19">
        <v>0</v>
      </c>
      <c r="M29" s="20">
        <f>SUM(C29:H29)</f>
        <v>1480474.7999999998</v>
      </c>
    </row>
    <row r="30" spans="1:15" ht="13.5" customHeight="1">
      <c r="A30" s="267"/>
      <c r="B30" s="29" t="s">
        <v>63</v>
      </c>
      <c r="C30" s="30">
        <v>27034</v>
      </c>
      <c r="D30" s="30">
        <v>7260.35</v>
      </c>
      <c r="E30" s="30">
        <v>-400</v>
      </c>
      <c r="F30" s="30">
        <v>1201.8800000000001</v>
      </c>
      <c r="G30" s="30">
        <v>26861.08</v>
      </c>
      <c r="H30" s="30">
        <v>619.21</v>
      </c>
      <c r="I30" s="30">
        <v>425</v>
      </c>
      <c r="J30" s="30">
        <v>470</v>
      </c>
      <c r="K30" s="19">
        <v>0</v>
      </c>
      <c r="M30" s="20">
        <f>SUM(C30:H30)</f>
        <v>62576.52</v>
      </c>
    </row>
    <row r="31" spans="1:15" ht="13.5" customHeight="1">
      <c r="A31" s="267"/>
      <c r="B31" s="29" t="s">
        <v>64</v>
      </c>
      <c r="C31" s="31">
        <v>1536</v>
      </c>
      <c r="D31" s="31">
        <v>383.88</v>
      </c>
      <c r="E31" s="31">
        <v>5747.9</v>
      </c>
      <c r="F31" s="31">
        <f>3023+8957.14</f>
        <v>11980.14</v>
      </c>
      <c r="G31" s="31">
        <v>918.61</v>
      </c>
      <c r="H31" s="31">
        <v>14586.95</v>
      </c>
      <c r="I31" s="31">
        <v>26627.89</v>
      </c>
      <c r="J31" s="31">
        <v>1060</v>
      </c>
      <c r="K31" s="17">
        <v>38966</v>
      </c>
      <c r="M31" s="20">
        <f>SUM(C31:H31)</f>
        <v>35153.479999999996</v>
      </c>
      <c r="N31" s="20">
        <f>+M31+M30+M9</f>
        <v>90933</v>
      </c>
      <c r="O31" s="10" t="s">
        <v>65</v>
      </c>
    </row>
    <row r="32" spans="1:15" s="22" customFormat="1" ht="13.5" customHeight="1" thickBot="1">
      <c r="A32" s="263" t="s">
        <v>66</v>
      </c>
      <c r="B32" s="32"/>
      <c r="C32" s="33">
        <f t="shared" ref="C32:K32" si="1">SUM(C16:C31)</f>
        <v>473442</v>
      </c>
      <c r="D32" s="33">
        <f>SUM(D16:D31)</f>
        <v>705377.45</v>
      </c>
      <c r="E32" s="33">
        <f>SUM(E16:E31)</f>
        <v>600575.1</v>
      </c>
      <c r="F32" s="33">
        <f>SUM(F16:F31)</f>
        <v>682562.27</v>
      </c>
      <c r="G32" s="33">
        <f t="shared" si="1"/>
        <v>862197.25</v>
      </c>
      <c r="H32" s="33">
        <f t="shared" si="1"/>
        <v>601735.39999999991</v>
      </c>
      <c r="I32" s="33">
        <f t="shared" si="1"/>
        <v>695456.82</v>
      </c>
      <c r="J32" s="33">
        <f t="shared" si="1"/>
        <v>532785</v>
      </c>
      <c r="K32" s="33">
        <f t="shared" si="1"/>
        <v>459115</v>
      </c>
      <c r="L32" s="34">
        <f>AVERAGE(C32:K32)</f>
        <v>623694.03222222219</v>
      </c>
      <c r="M32" s="34">
        <f>SUM(C32:H32)+SUM(C12:H14)</f>
        <v>5943045.4199999999</v>
      </c>
    </row>
    <row r="33" spans="1:13" ht="13.5" customHeight="1">
      <c r="A33" s="274" t="s">
        <v>68</v>
      </c>
      <c r="B33" s="76"/>
      <c r="C33" s="189"/>
      <c r="D33" s="189"/>
      <c r="E33" s="189"/>
      <c r="F33" s="189"/>
      <c r="G33" s="189"/>
      <c r="H33" s="189"/>
      <c r="I33" s="190"/>
      <c r="J33" s="190"/>
      <c r="K33" s="275"/>
    </row>
    <row r="34" spans="1:13" ht="13.5" customHeight="1">
      <c r="A34" s="267"/>
      <c r="B34" s="29" t="s">
        <v>69</v>
      </c>
      <c r="C34" s="30">
        <v>146796</v>
      </c>
      <c r="D34" s="30">
        <v>358895.85</v>
      </c>
      <c r="E34" s="30">
        <v>259665.56</v>
      </c>
      <c r="F34" s="30">
        <v>165766.53</v>
      </c>
      <c r="G34" s="30">
        <v>318648.84000000003</v>
      </c>
      <c r="H34" s="30">
        <v>282787.06</v>
      </c>
      <c r="I34" s="30">
        <v>289104.59000000003</v>
      </c>
      <c r="J34" s="30">
        <v>246836</v>
      </c>
      <c r="K34" s="19">
        <v>160151</v>
      </c>
      <c r="M34" s="20">
        <f>SUM(C34:H34)</f>
        <v>1532559.84</v>
      </c>
    </row>
    <row r="35" spans="1:13" ht="13.5" customHeight="1">
      <c r="A35" s="267"/>
      <c r="B35" s="29" t="s">
        <v>70</v>
      </c>
      <c r="C35" s="30">
        <v>209031</v>
      </c>
      <c r="D35" s="30">
        <v>278433.75</v>
      </c>
      <c r="E35" s="30">
        <v>301273.84999999998</v>
      </c>
      <c r="F35" s="30">
        <v>273562.78000000003</v>
      </c>
      <c r="G35" s="30">
        <v>241805.29</v>
      </c>
      <c r="H35" s="30">
        <v>384544.27</v>
      </c>
      <c r="I35" s="30">
        <v>302233.67</v>
      </c>
      <c r="J35" s="30">
        <v>23749</v>
      </c>
      <c r="K35" s="19">
        <v>313604</v>
      </c>
      <c r="M35" s="20">
        <f>SUM(C35:H35)</f>
        <v>1688650.94</v>
      </c>
    </row>
    <row r="36" spans="1:13" ht="13.5" customHeight="1">
      <c r="A36" s="267"/>
      <c r="B36" s="29" t="s">
        <v>71</v>
      </c>
      <c r="C36" s="30">
        <v>22565</v>
      </c>
      <c r="D36" s="30">
        <v>5442.1</v>
      </c>
      <c r="E36" s="30">
        <v>11501.48</v>
      </c>
      <c r="F36" s="30">
        <v>12802.72</v>
      </c>
      <c r="G36" s="30">
        <v>4445.34</v>
      </c>
      <c r="H36" s="30">
        <v>25460.04</v>
      </c>
      <c r="I36" s="30">
        <v>28542.59</v>
      </c>
      <c r="J36" s="30">
        <v>16399</v>
      </c>
      <c r="K36" s="19">
        <v>5006</v>
      </c>
    </row>
    <row r="37" spans="1:13" ht="13.5" customHeight="1">
      <c r="A37" s="267"/>
      <c r="B37" s="29" t="s">
        <v>72</v>
      </c>
      <c r="C37" s="30">
        <v>1825</v>
      </c>
      <c r="D37" s="30">
        <v>44168.83</v>
      </c>
      <c r="E37" s="30">
        <v>19566.78</v>
      </c>
      <c r="F37" s="30">
        <v>0</v>
      </c>
      <c r="G37" s="30">
        <v>18814.21</v>
      </c>
      <c r="H37" s="30">
        <v>44454.080000000002</v>
      </c>
      <c r="I37" s="30">
        <v>55732.89</v>
      </c>
      <c r="J37" s="30">
        <v>14725</v>
      </c>
      <c r="K37" s="19">
        <v>0</v>
      </c>
    </row>
    <row r="38" spans="1:13" ht="13.5" customHeight="1">
      <c r="A38" s="267"/>
      <c r="B38" s="29" t="s">
        <v>60</v>
      </c>
      <c r="C38" s="30">
        <v>685</v>
      </c>
      <c r="D38" s="30">
        <v>13282</v>
      </c>
      <c r="E38" s="30">
        <v>12686.4</v>
      </c>
      <c r="F38" s="30">
        <v>97548.88</v>
      </c>
      <c r="G38" s="30">
        <v>7907.58</v>
      </c>
      <c r="H38" s="30">
        <v>10633.57</v>
      </c>
      <c r="I38" s="30">
        <v>13225.58</v>
      </c>
      <c r="J38" s="30">
        <v>5564</v>
      </c>
      <c r="K38" s="19">
        <v>25612</v>
      </c>
    </row>
    <row r="39" spans="1:13" ht="13.5" customHeight="1">
      <c r="A39" s="267"/>
      <c r="B39" s="29" t="s">
        <v>73</v>
      </c>
      <c r="C39" s="30">
        <v>0</v>
      </c>
      <c r="D39" s="30">
        <v>0</v>
      </c>
      <c r="E39" s="30">
        <v>20130.18</v>
      </c>
      <c r="F39" s="30">
        <v>1082.33</v>
      </c>
      <c r="G39" s="30">
        <v>23750.99</v>
      </c>
      <c r="H39" s="30">
        <v>0</v>
      </c>
      <c r="I39" s="30">
        <v>0</v>
      </c>
      <c r="J39" s="30">
        <v>23173</v>
      </c>
      <c r="K39" s="19">
        <v>0</v>
      </c>
    </row>
    <row r="40" spans="1:13" ht="13.5" customHeight="1">
      <c r="A40" s="267"/>
      <c r="B40" s="29" t="s">
        <v>74</v>
      </c>
      <c r="C40" s="30">
        <v>0</v>
      </c>
      <c r="D40" s="30">
        <v>13874.31</v>
      </c>
      <c r="E40" s="30">
        <v>6581</v>
      </c>
      <c r="F40" s="30">
        <v>0</v>
      </c>
      <c r="G40" s="30">
        <v>17102.830000000002</v>
      </c>
      <c r="H40" s="30">
        <v>6380</v>
      </c>
      <c r="I40" s="30">
        <v>13066.36</v>
      </c>
      <c r="J40" s="30">
        <v>5836</v>
      </c>
      <c r="K40" s="19">
        <v>5793</v>
      </c>
    </row>
    <row r="41" spans="1:13" ht="13.5" customHeight="1">
      <c r="A41" s="267"/>
      <c r="B41" s="29" t="s">
        <v>53</v>
      </c>
      <c r="C41" s="30">
        <v>12847</v>
      </c>
      <c r="D41" s="30">
        <v>25508.32</v>
      </c>
      <c r="E41" s="30">
        <v>20039.29</v>
      </c>
      <c r="F41" s="30">
        <v>12198.05</v>
      </c>
      <c r="G41" s="30">
        <v>23035.07</v>
      </c>
      <c r="H41" s="30">
        <v>44676.31</v>
      </c>
      <c r="I41" s="30">
        <v>16609.240000000002</v>
      </c>
      <c r="J41" s="30">
        <v>20704</v>
      </c>
      <c r="K41" s="19">
        <v>0</v>
      </c>
    </row>
    <row r="42" spans="1:13" ht="13.5" customHeight="1">
      <c r="A42" s="267"/>
      <c r="B42" s="29" t="s">
        <v>54</v>
      </c>
      <c r="C42" s="30">
        <v>0</v>
      </c>
      <c r="D42" s="30">
        <v>15806.86</v>
      </c>
      <c r="E42" s="30">
        <v>6467.6</v>
      </c>
      <c r="F42" s="30">
        <v>253.65</v>
      </c>
      <c r="G42" s="30">
        <v>0</v>
      </c>
      <c r="H42" s="30">
        <v>3719.31</v>
      </c>
      <c r="I42" s="30">
        <v>0</v>
      </c>
      <c r="J42" s="30">
        <v>8287</v>
      </c>
      <c r="K42" s="19">
        <v>0</v>
      </c>
    </row>
    <row r="43" spans="1:13" ht="13.5" customHeight="1">
      <c r="A43" s="267"/>
      <c r="B43" s="29" t="s">
        <v>55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19">
        <v>0</v>
      </c>
    </row>
    <row r="44" spans="1:13" ht="13.5" customHeight="1">
      <c r="A44" s="267"/>
      <c r="B44" s="29" t="s">
        <v>56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19">
        <v>0</v>
      </c>
    </row>
    <row r="45" spans="1:13" ht="13.5" customHeight="1">
      <c r="A45" s="267"/>
      <c r="B45" s="29" t="s">
        <v>75</v>
      </c>
      <c r="C45" s="30">
        <v>56320</v>
      </c>
      <c r="D45" s="30">
        <v>37670.769999999997</v>
      </c>
      <c r="E45" s="30">
        <v>117584.11</v>
      </c>
      <c r="F45" s="30">
        <v>0</v>
      </c>
      <c r="G45" s="30">
        <v>66398.28</v>
      </c>
      <c r="H45" s="30">
        <v>62100</v>
      </c>
      <c r="I45" s="30">
        <v>74166.12</v>
      </c>
      <c r="J45" s="30">
        <v>82919</v>
      </c>
      <c r="K45" s="19">
        <v>48307</v>
      </c>
    </row>
    <row r="46" spans="1:13" ht="13.5" customHeight="1">
      <c r="A46" s="267"/>
      <c r="B46" s="29" t="s">
        <v>58</v>
      </c>
      <c r="C46" s="30">
        <v>0</v>
      </c>
      <c r="D46" s="30">
        <v>0</v>
      </c>
      <c r="E46" s="30">
        <v>0</v>
      </c>
      <c r="F46" s="30">
        <v>0</v>
      </c>
      <c r="G46" s="30">
        <v>3989.43</v>
      </c>
      <c r="H46" s="30">
        <v>0</v>
      </c>
      <c r="I46" s="30">
        <v>0</v>
      </c>
      <c r="J46" s="30">
        <v>46035</v>
      </c>
      <c r="K46" s="19">
        <v>0</v>
      </c>
    </row>
    <row r="47" spans="1:13" ht="13.5" customHeight="1">
      <c r="A47" s="267"/>
      <c r="B47" s="29" t="s">
        <v>76</v>
      </c>
      <c r="C47" s="30">
        <v>3168</v>
      </c>
      <c r="D47" s="30">
        <v>1032.6400000000001</v>
      </c>
      <c r="E47" s="30">
        <v>0</v>
      </c>
      <c r="F47" s="30">
        <v>43472.68</v>
      </c>
      <c r="G47" s="30">
        <v>20230.919999999998</v>
      </c>
      <c r="H47" s="30">
        <v>10412.67</v>
      </c>
      <c r="I47" s="30">
        <v>10952.25</v>
      </c>
      <c r="J47" s="30">
        <v>19914</v>
      </c>
      <c r="K47" s="19">
        <v>0</v>
      </c>
    </row>
    <row r="48" spans="1:13" ht="13.5" customHeight="1">
      <c r="A48" s="267"/>
      <c r="B48" s="29" t="s">
        <v>77</v>
      </c>
      <c r="C48" s="30">
        <v>8111</v>
      </c>
      <c r="D48" s="30">
        <v>46.2</v>
      </c>
      <c r="E48" s="30">
        <v>0</v>
      </c>
      <c r="F48" s="30">
        <v>4670.3900000000003</v>
      </c>
      <c r="G48" s="30">
        <v>0</v>
      </c>
      <c r="H48" s="30">
        <v>0</v>
      </c>
      <c r="I48" s="30">
        <v>0</v>
      </c>
      <c r="J48" s="30">
        <v>11801</v>
      </c>
      <c r="K48" s="19">
        <v>0</v>
      </c>
    </row>
    <row r="49" spans="1:13" ht="13.5" customHeight="1">
      <c r="A49" s="267"/>
      <c r="B49" s="29" t="s">
        <v>78</v>
      </c>
      <c r="C49" s="30">
        <v>749</v>
      </c>
      <c r="D49" s="30">
        <v>5854.88</v>
      </c>
      <c r="E49" s="30">
        <v>-1743.3</v>
      </c>
      <c r="F49" s="30">
        <v>-3635.81</v>
      </c>
      <c r="G49" s="30">
        <v>36380.120000000003</v>
      </c>
      <c r="H49" s="30">
        <v>8655.83</v>
      </c>
      <c r="I49" s="30">
        <v>-1428.14</v>
      </c>
      <c r="J49" s="30">
        <v>0</v>
      </c>
      <c r="K49" s="19">
        <v>0</v>
      </c>
    </row>
    <row r="50" spans="1:13" ht="13.5" customHeight="1">
      <c r="A50" s="267"/>
      <c r="B50" s="29" t="s">
        <v>79</v>
      </c>
      <c r="C50" s="30">
        <v>93</v>
      </c>
      <c r="D50" s="30">
        <v>-102.2</v>
      </c>
      <c r="E50" s="30">
        <v>-6.01</v>
      </c>
      <c r="F50" s="30">
        <v>0</v>
      </c>
      <c r="G50" s="30">
        <v>155</v>
      </c>
      <c r="H50" s="30">
        <v>-20.350000000000001</v>
      </c>
      <c r="I50" s="30">
        <v>653.15</v>
      </c>
      <c r="J50" s="30">
        <v>0</v>
      </c>
      <c r="K50" s="19">
        <v>0</v>
      </c>
    </row>
    <row r="51" spans="1:13" ht="13.5" customHeight="1">
      <c r="A51" s="267"/>
      <c r="B51" s="29" t="s">
        <v>80</v>
      </c>
      <c r="C51" s="30">
        <v>0</v>
      </c>
      <c r="D51" s="30">
        <v>0</v>
      </c>
      <c r="E51" s="30">
        <v>0</v>
      </c>
      <c r="F51" s="30">
        <v>5123.6400000000003</v>
      </c>
      <c r="G51" s="30">
        <v>0</v>
      </c>
      <c r="H51" s="30">
        <v>4994.32</v>
      </c>
      <c r="I51" s="30">
        <v>37430</v>
      </c>
      <c r="J51" s="30">
        <v>188540</v>
      </c>
      <c r="K51" s="19">
        <v>0</v>
      </c>
    </row>
    <row r="52" spans="1:13" s="22" customFormat="1" ht="13.5" customHeight="1" thickBot="1">
      <c r="A52" s="263" t="s">
        <v>81</v>
      </c>
      <c r="B52" s="32"/>
      <c r="C52" s="33">
        <f t="shared" ref="C52:K52" si="2">SUM(C34:C51)</f>
        <v>462190</v>
      </c>
      <c r="D52" s="33">
        <f>SUM(D34:D51)</f>
        <v>799914.30999999994</v>
      </c>
      <c r="E52" s="33">
        <f>SUM(E34:E51)</f>
        <v>773746.94</v>
      </c>
      <c r="F52" s="33">
        <f>SUM(F34:F51)</f>
        <v>612845.84000000008</v>
      </c>
      <c r="G52" s="33">
        <f t="shared" si="2"/>
        <v>782663.89999999991</v>
      </c>
      <c r="H52" s="33">
        <f t="shared" si="2"/>
        <v>888797.1100000001</v>
      </c>
      <c r="I52" s="33">
        <f>SUM(I34:I51)</f>
        <v>840288.29999999993</v>
      </c>
      <c r="J52" s="33">
        <f>SUM(J34:J51)</f>
        <v>714482</v>
      </c>
      <c r="K52" s="33">
        <f t="shared" si="2"/>
        <v>558473</v>
      </c>
      <c r="L52" s="34">
        <f>AVERAGE(C52:K52)</f>
        <v>714822.37777777773</v>
      </c>
      <c r="M52" s="34">
        <f>SUM(E52:H52)+SUM(E54:H54)</f>
        <v>3343587.5100000002</v>
      </c>
    </row>
    <row r="53" spans="1:13" ht="13.5" customHeight="1">
      <c r="A53" s="274" t="s">
        <v>82</v>
      </c>
      <c r="B53" s="76"/>
      <c r="C53" s="77"/>
      <c r="D53" s="77"/>
      <c r="E53" s="77"/>
      <c r="F53" s="77"/>
      <c r="G53" s="77"/>
      <c r="H53" s="77"/>
      <c r="I53" s="78"/>
      <c r="J53" s="78"/>
      <c r="K53" s="79"/>
    </row>
    <row r="54" spans="1:13" s="22" customFormat="1" ht="13.5" customHeight="1">
      <c r="A54" s="264"/>
      <c r="B54" s="23" t="s">
        <v>83</v>
      </c>
      <c r="C54" s="24">
        <v>56943</v>
      </c>
      <c r="D54" s="24">
        <v>89501.84</v>
      </c>
      <c r="E54" s="24">
        <v>67236</v>
      </c>
      <c r="F54" s="24">
        <v>52327.09</v>
      </c>
      <c r="G54" s="24">
        <v>80339.11</v>
      </c>
      <c r="H54" s="24">
        <v>85631.52</v>
      </c>
      <c r="I54" s="24">
        <v>53717.91</v>
      </c>
      <c r="J54" s="24">
        <v>64701</v>
      </c>
      <c r="K54" s="24">
        <v>41927</v>
      </c>
      <c r="M54" s="20">
        <f>SUM(C54:H54)</f>
        <v>431978.56</v>
      </c>
    </row>
    <row r="55" spans="1:13" s="22" customFormat="1" ht="13.5" customHeight="1">
      <c r="A55" s="268"/>
      <c r="B55" s="36" t="s">
        <v>201</v>
      </c>
      <c r="C55" s="42">
        <v>-172829</v>
      </c>
      <c r="D55" s="42">
        <v>124102.82</v>
      </c>
      <c r="E55" s="42">
        <v>70883</v>
      </c>
      <c r="F55" s="42">
        <v>158467.20000000001</v>
      </c>
      <c r="G55" s="42">
        <v>22596.87</v>
      </c>
      <c r="H55" s="42">
        <v>195618.58</v>
      </c>
      <c r="I55" s="42">
        <v>0</v>
      </c>
      <c r="J55" s="42">
        <v>0</v>
      </c>
      <c r="K55" s="42">
        <v>0</v>
      </c>
      <c r="M55" s="20">
        <f>SUM(C55:H55)</f>
        <v>398839.47</v>
      </c>
    </row>
    <row r="56" spans="1:13" s="22" customFormat="1" ht="13.5" customHeight="1">
      <c r="A56" s="268"/>
      <c r="B56" s="36" t="s">
        <v>229</v>
      </c>
      <c r="C56" s="42">
        <v>0</v>
      </c>
      <c r="D56" s="42">
        <v>0</v>
      </c>
      <c r="E56" s="42">
        <v>0</v>
      </c>
      <c r="F56" s="42">
        <v>0</v>
      </c>
      <c r="G56" s="42">
        <v>0</v>
      </c>
      <c r="H56" s="42">
        <v>0</v>
      </c>
      <c r="I56" s="42">
        <v>0</v>
      </c>
      <c r="J56" s="42">
        <v>0</v>
      </c>
      <c r="K56" s="42">
        <v>0</v>
      </c>
      <c r="M56" s="20">
        <f>SUM(C56:K56)</f>
        <v>0</v>
      </c>
    </row>
    <row r="57" spans="1:13" s="22" customFormat="1" ht="13.5" customHeight="1">
      <c r="A57" s="241" t="s">
        <v>230</v>
      </c>
      <c r="B57" s="36"/>
      <c r="C57" s="24">
        <f t="shared" ref="C57:I57" si="3">+C32-C52</f>
        <v>11252</v>
      </c>
      <c r="D57" s="24">
        <f t="shared" si="3"/>
        <v>-94536.859999999986</v>
      </c>
      <c r="E57" s="24">
        <f t="shared" si="3"/>
        <v>-173171.83999999997</v>
      </c>
      <c r="F57" s="24">
        <f t="shared" si="3"/>
        <v>69716.429999999935</v>
      </c>
      <c r="G57" s="24">
        <f t="shared" si="3"/>
        <v>79533.350000000093</v>
      </c>
      <c r="H57" s="24">
        <f t="shared" si="3"/>
        <v>-287061.7100000002</v>
      </c>
      <c r="I57" s="24">
        <f t="shared" si="3"/>
        <v>-144831.47999999998</v>
      </c>
      <c r="J57" s="24">
        <f t="shared" ref="J57" si="4">+J32-J52</f>
        <v>-181697</v>
      </c>
      <c r="K57" s="24">
        <f t="shared" ref="K57" si="5">+K32-K52</f>
        <v>-99358</v>
      </c>
      <c r="L57" s="34">
        <f t="shared" ref="L57:L62" si="6">AVERAGE(C57:K57)</f>
        <v>-91128.34555555557</v>
      </c>
    </row>
    <row r="58" spans="1:13" s="22" customFormat="1" ht="13.5" customHeight="1">
      <c r="A58" s="241" t="s">
        <v>239</v>
      </c>
      <c r="B58" s="36"/>
      <c r="C58" s="24">
        <f>+C32-C52-C54</f>
        <v>-45691</v>
      </c>
      <c r="D58" s="24">
        <f t="shared" ref="D58:K58" si="7">+D32-D52-D54</f>
        <v>-184038.69999999998</v>
      </c>
      <c r="E58" s="24">
        <f t="shared" si="7"/>
        <v>-240407.83999999997</v>
      </c>
      <c r="F58" s="24">
        <f t="shared" si="7"/>
        <v>17389.339999999938</v>
      </c>
      <c r="G58" s="24">
        <f t="shared" si="7"/>
        <v>-805.75999999990745</v>
      </c>
      <c r="H58" s="24">
        <f t="shared" si="7"/>
        <v>-372693.23000000021</v>
      </c>
      <c r="I58" s="24">
        <f t="shared" si="7"/>
        <v>-198549.38999999998</v>
      </c>
      <c r="J58" s="24">
        <f t="shared" si="7"/>
        <v>-246398</v>
      </c>
      <c r="K58" s="24">
        <f t="shared" si="7"/>
        <v>-141285</v>
      </c>
      <c r="L58" s="34">
        <f t="shared" si="6"/>
        <v>-156942.17555555556</v>
      </c>
    </row>
    <row r="59" spans="1:13" s="22" customFormat="1" ht="13.5" customHeight="1">
      <c r="A59" s="241" t="s">
        <v>231</v>
      </c>
      <c r="B59" s="36"/>
      <c r="C59" s="24">
        <f>+C32-C52-SUM(C54:C56)</f>
        <v>127138</v>
      </c>
      <c r="D59" s="24">
        <f t="shared" ref="D59:K59" si="8">+D32-D52-SUM(D54:D56)</f>
        <v>-308141.52</v>
      </c>
      <c r="E59" s="24">
        <f t="shared" si="8"/>
        <v>-311290.83999999997</v>
      </c>
      <c r="F59" s="24">
        <f t="shared" si="8"/>
        <v>-141077.86000000007</v>
      </c>
      <c r="G59" s="24">
        <f t="shared" si="8"/>
        <v>-23402.629999999903</v>
      </c>
      <c r="H59" s="24">
        <f t="shared" si="8"/>
        <v>-568311.81000000017</v>
      </c>
      <c r="I59" s="24">
        <f t="shared" si="8"/>
        <v>-198549.38999999998</v>
      </c>
      <c r="J59" s="24">
        <f t="shared" si="8"/>
        <v>-246398</v>
      </c>
      <c r="K59" s="24">
        <f t="shared" si="8"/>
        <v>-141285</v>
      </c>
      <c r="L59" s="34">
        <f t="shared" si="6"/>
        <v>-201257.67222222223</v>
      </c>
    </row>
    <row r="60" spans="1:13" s="22" customFormat="1" ht="13.5" customHeight="1">
      <c r="A60" s="241" t="s">
        <v>232</v>
      </c>
      <c r="B60" s="36"/>
      <c r="C60" s="24">
        <f>+C32+SUM(C12:C14)-C52</f>
        <v>217586</v>
      </c>
      <c r="D60" s="24">
        <f t="shared" ref="D60:K60" si="9">+D32+SUM(D12:D14)-D52</f>
        <v>163310.52000000002</v>
      </c>
      <c r="E60" s="24">
        <f t="shared" si="9"/>
        <v>376456.16000000015</v>
      </c>
      <c r="F60" s="24">
        <f t="shared" si="9"/>
        <v>213477.62999999989</v>
      </c>
      <c r="G60" s="24">
        <f t="shared" si="9"/>
        <v>250333.77000000002</v>
      </c>
      <c r="H60" s="24">
        <f t="shared" si="9"/>
        <v>401723.23999999976</v>
      </c>
      <c r="I60" s="24">
        <f t="shared" si="9"/>
        <v>98973.430000000051</v>
      </c>
      <c r="J60" s="24">
        <f t="shared" si="9"/>
        <v>-11276</v>
      </c>
      <c r="K60" s="24">
        <f t="shared" si="9"/>
        <v>66253</v>
      </c>
      <c r="L60" s="34">
        <f t="shared" si="6"/>
        <v>197426.41666666666</v>
      </c>
    </row>
    <row r="61" spans="1:13" s="22" customFormat="1" ht="13.5" customHeight="1">
      <c r="A61" s="241" t="s">
        <v>240</v>
      </c>
      <c r="B61" s="36"/>
      <c r="C61" s="24">
        <f>+C32+SUM(C12:C14)-C52-C54</f>
        <v>160643</v>
      </c>
      <c r="D61" s="24">
        <f t="shared" ref="D61:K61" si="10">+D32+SUM(D12:D14)-D52-D54</f>
        <v>73808.680000000022</v>
      </c>
      <c r="E61" s="24">
        <f t="shared" si="10"/>
        <v>309220.16000000015</v>
      </c>
      <c r="F61" s="24">
        <f t="shared" si="10"/>
        <v>161150.53999999989</v>
      </c>
      <c r="G61" s="24">
        <f t="shared" si="10"/>
        <v>169994.66000000003</v>
      </c>
      <c r="H61" s="24">
        <f t="shared" si="10"/>
        <v>316091.71999999974</v>
      </c>
      <c r="I61" s="24">
        <f t="shared" si="10"/>
        <v>45255.520000000048</v>
      </c>
      <c r="J61" s="24">
        <f t="shared" si="10"/>
        <v>-75977</v>
      </c>
      <c r="K61" s="24">
        <f t="shared" si="10"/>
        <v>24326</v>
      </c>
      <c r="L61" s="34">
        <f t="shared" si="6"/>
        <v>131612.58666666664</v>
      </c>
    </row>
    <row r="62" spans="1:13" s="22" customFormat="1" ht="13.5" customHeight="1">
      <c r="A62" s="241" t="s">
        <v>233</v>
      </c>
      <c r="B62" s="36"/>
      <c r="C62" s="24">
        <f>+C32+SUM(C12:C14)-C52-SUM(C54:C56)</f>
        <v>333472</v>
      </c>
      <c r="D62" s="24">
        <f t="shared" ref="D62:K62" si="11">+D32+SUM(D12:D14)-D52-SUM(D54:D56)</f>
        <v>-50294.139999999985</v>
      </c>
      <c r="E62" s="24">
        <f t="shared" si="11"/>
        <v>238337.16000000015</v>
      </c>
      <c r="F62" s="24">
        <f t="shared" si="11"/>
        <v>2683.3399999998801</v>
      </c>
      <c r="G62" s="24">
        <f t="shared" si="11"/>
        <v>147397.79000000004</v>
      </c>
      <c r="H62" s="24">
        <f t="shared" si="11"/>
        <v>120473.13999999978</v>
      </c>
      <c r="I62" s="24">
        <f t="shared" si="11"/>
        <v>45255.520000000048</v>
      </c>
      <c r="J62" s="24">
        <f t="shared" si="11"/>
        <v>-75977</v>
      </c>
      <c r="K62" s="24">
        <f t="shared" si="11"/>
        <v>24326</v>
      </c>
      <c r="L62" s="34">
        <f t="shared" si="6"/>
        <v>87297.089999999982</v>
      </c>
      <c r="M62" s="34">
        <f>SUM(C62:H62)</f>
        <v>792069.2899999998</v>
      </c>
    </row>
    <row r="63" spans="1:13" ht="13.5" customHeight="1">
      <c r="A63" s="262" t="s">
        <v>228</v>
      </c>
      <c r="B63" s="12"/>
      <c r="C63" s="38"/>
      <c r="D63" s="38"/>
      <c r="E63" s="38"/>
      <c r="F63" s="38"/>
      <c r="G63" s="38"/>
      <c r="H63" s="38"/>
      <c r="I63" s="37"/>
      <c r="J63" s="37"/>
      <c r="K63" s="38"/>
    </row>
    <row r="64" spans="1:13" s="48" customFormat="1" ht="13.5" customHeight="1">
      <c r="A64" s="269"/>
      <c r="B64" s="210" t="s">
        <v>40</v>
      </c>
      <c r="C64" s="17">
        <v>358916</v>
      </c>
      <c r="D64" s="17">
        <v>302607.43000000005</v>
      </c>
      <c r="E64" s="17">
        <v>102940</v>
      </c>
      <c r="F64" s="17">
        <v>123082.1</v>
      </c>
      <c r="G64" s="17">
        <v>218880.08999999997</v>
      </c>
      <c r="H64" s="17">
        <v>681287.10000000033</v>
      </c>
      <c r="I64" s="17">
        <v>-196966.62</v>
      </c>
      <c r="J64" s="17">
        <v>31389</v>
      </c>
      <c r="K64" s="17">
        <v>-47059</v>
      </c>
      <c r="L64" s="213">
        <f>SUM(C64:K64)/9</f>
        <v>175008.45555555561</v>
      </c>
    </row>
    <row r="65" spans="1:12" s="48" customFormat="1" ht="13.5" customHeight="1">
      <c r="A65" s="269"/>
      <c r="B65" s="210" t="s">
        <v>234</v>
      </c>
      <c r="C65" s="17">
        <v>-77682</v>
      </c>
      <c r="D65" s="17">
        <v>-433269.12</v>
      </c>
      <c r="E65" s="17">
        <v>-369422</v>
      </c>
      <c r="F65" s="17">
        <v>-360854.68000000005</v>
      </c>
      <c r="G65" s="17">
        <v>-269141.13</v>
      </c>
      <c r="H65" s="17">
        <v>-306162.85000000003</v>
      </c>
      <c r="I65" s="17">
        <v>0</v>
      </c>
      <c r="J65" s="17">
        <v>0</v>
      </c>
      <c r="K65" s="17">
        <v>0</v>
      </c>
      <c r="L65" s="213"/>
    </row>
    <row r="66" spans="1:12" s="48" customFormat="1" ht="13.5" customHeight="1">
      <c r="A66" s="269"/>
      <c r="B66" s="210" t="s">
        <v>41</v>
      </c>
      <c r="C66" s="17">
        <v>0</v>
      </c>
      <c r="D66" s="17">
        <v>0</v>
      </c>
      <c r="E66" s="17">
        <v>0</v>
      </c>
      <c r="F66" s="17">
        <v>14497.14</v>
      </c>
      <c r="G66" s="17">
        <v>1405</v>
      </c>
      <c r="H66" s="17">
        <v>0</v>
      </c>
      <c r="I66" s="17">
        <v>14587.91</v>
      </c>
      <c r="J66" s="17">
        <v>0</v>
      </c>
      <c r="K66" s="17">
        <v>0</v>
      </c>
      <c r="L66" s="96">
        <f>MAX(C64:K64)</f>
        <v>681287.10000000033</v>
      </c>
    </row>
    <row r="67" spans="1:12" s="212" customFormat="1" ht="13.5" customHeight="1">
      <c r="A67" s="269"/>
      <c r="B67" s="210" t="s">
        <v>42</v>
      </c>
      <c r="C67" s="17">
        <v>1136726</v>
      </c>
      <c r="D67" s="17">
        <v>1111246.8900000001</v>
      </c>
      <c r="E67" s="17">
        <v>1000594</v>
      </c>
      <c r="F67" s="17">
        <v>657570.89999999991</v>
      </c>
      <c r="G67" s="17">
        <v>1197010.97</v>
      </c>
      <c r="H67" s="17">
        <v>1455919.6199999994</v>
      </c>
      <c r="I67" s="17">
        <v>1151604.1700000002</v>
      </c>
      <c r="J67" s="17">
        <v>974419</v>
      </c>
      <c r="K67" s="17">
        <v>303704</v>
      </c>
      <c r="L67" s="214">
        <f>MIN(C64:K64)</f>
        <v>-196966.62</v>
      </c>
    </row>
    <row r="68" spans="1:12" s="22" customFormat="1" ht="13.5" customHeight="1">
      <c r="A68" s="241"/>
      <c r="B68" s="41" t="s">
        <v>43</v>
      </c>
      <c r="C68" s="57">
        <f t="shared" ref="C68:K68" si="12">SUM(C64:C67)</f>
        <v>1417960</v>
      </c>
      <c r="D68" s="57">
        <f t="shared" si="12"/>
        <v>980585.20000000019</v>
      </c>
      <c r="E68" s="57">
        <f t="shared" si="12"/>
        <v>734112</v>
      </c>
      <c r="F68" s="57">
        <f>SUM(F64:F67)</f>
        <v>434295.45999999985</v>
      </c>
      <c r="G68" s="57">
        <f t="shared" si="12"/>
        <v>1148154.93</v>
      </c>
      <c r="H68" s="57">
        <f t="shared" si="12"/>
        <v>1831043.8699999996</v>
      </c>
      <c r="I68" s="57">
        <f t="shared" si="12"/>
        <v>969225.4600000002</v>
      </c>
      <c r="J68" s="57">
        <f t="shared" si="12"/>
        <v>1005808</v>
      </c>
      <c r="K68" s="57">
        <f t="shared" si="12"/>
        <v>256645</v>
      </c>
      <c r="L68" s="81"/>
    </row>
    <row r="69" spans="1:12" s="45" customFormat="1" ht="13.5" customHeight="1">
      <c r="A69" s="276" t="s">
        <v>84</v>
      </c>
      <c r="B69" s="276"/>
      <c r="C69" s="271">
        <f t="shared" ref="C69:H69" si="13">C64/(C52)</f>
        <v>0.77655509638893094</v>
      </c>
      <c r="D69" s="271">
        <f t="shared" si="13"/>
        <v>0.3782998081381993</v>
      </c>
      <c r="E69" s="271">
        <f t="shared" si="13"/>
        <v>0.13304091386778216</v>
      </c>
      <c r="F69" s="271">
        <f>F64/(F52)</f>
        <v>0.20083696741745036</v>
      </c>
      <c r="G69" s="271">
        <f t="shared" si="13"/>
        <v>0.27966038806695953</v>
      </c>
      <c r="H69" s="277">
        <f t="shared" si="13"/>
        <v>0.76652713238457792</v>
      </c>
      <c r="I69" s="271">
        <f>I64/I52</f>
        <v>-0.23440362075730439</v>
      </c>
      <c r="J69" s="271">
        <f>J64/J52</f>
        <v>4.393252734148656E-2</v>
      </c>
      <c r="K69" s="271">
        <f>K64/K52</f>
        <v>-8.426369761832711E-2</v>
      </c>
      <c r="L69" s="204">
        <f>AVERAGE(C69:K69)</f>
        <v>0.25113172391441724</v>
      </c>
    </row>
    <row r="70" spans="1:12" s="85" customFormat="1">
      <c r="A70" s="83"/>
      <c r="B70" s="83" t="s">
        <v>85</v>
      </c>
      <c r="C70" s="46">
        <f t="shared" ref="C70:J70" si="14">+C10+C12+C13+C14+C32-C52-C54-C68-C55-C56</f>
        <v>1</v>
      </c>
      <c r="D70" s="46">
        <f t="shared" si="14"/>
        <v>-0.34000000025844201</v>
      </c>
      <c r="E70" s="46">
        <f t="shared" si="14"/>
        <v>-0.83999999985098839</v>
      </c>
      <c r="F70" s="46">
        <f t="shared" si="14"/>
        <v>-1.1199999999371357</v>
      </c>
      <c r="G70" s="46">
        <f t="shared" si="14"/>
        <v>-0.45999999984996975</v>
      </c>
      <c r="H70" s="46">
        <f t="shared" si="14"/>
        <v>0.26999999964027666</v>
      </c>
      <c r="I70" s="46">
        <f t="shared" si="14"/>
        <v>-2.3283064365386963E-10</v>
      </c>
      <c r="J70" s="46">
        <f t="shared" si="14"/>
        <v>0</v>
      </c>
      <c r="K70" s="46">
        <f>+K10+K12+K13+K14+K32-K52-K54-K68-K55-K56</f>
        <v>0</v>
      </c>
      <c r="L70" s="84"/>
    </row>
    <row r="71" spans="1:12" s="85" customFormat="1">
      <c r="A71" s="83"/>
      <c r="B71" s="83"/>
      <c r="C71" s="46">
        <f>+C10+C62-C68</f>
        <v>1</v>
      </c>
      <c r="D71" s="46">
        <f t="shared" ref="D71:K71" si="15">+D10+D62-D68</f>
        <v>-0.34000000020023435</v>
      </c>
      <c r="E71" s="46">
        <f t="shared" si="15"/>
        <v>-0.83999999985098839</v>
      </c>
      <c r="F71" s="46">
        <f t="shared" si="15"/>
        <v>-1.1199999999953434</v>
      </c>
      <c r="G71" s="46">
        <f t="shared" si="15"/>
        <v>-0.45999999972991645</v>
      </c>
      <c r="H71" s="46">
        <f t="shared" si="15"/>
        <v>0.27000000001862645</v>
      </c>
      <c r="I71" s="46">
        <f t="shared" si="15"/>
        <v>0</v>
      </c>
      <c r="J71" s="46">
        <f t="shared" si="15"/>
        <v>0</v>
      </c>
      <c r="K71" s="46">
        <f t="shared" si="15"/>
        <v>0</v>
      </c>
      <c r="L71" s="84"/>
    </row>
    <row r="72" spans="1:12" s="85" customFormat="1" ht="13.5" customHeight="1">
      <c r="A72" s="83"/>
      <c r="B72" s="83"/>
      <c r="C72" s="46"/>
      <c r="D72" s="46"/>
      <c r="E72" s="46"/>
      <c r="F72" s="46"/>
      <c r="G72" s="46"/>
      <c r="H72" s="46"/>
      <c r="I72" s="46"/>
      <c r="J72" s="46"/>
      <c r="K72" s="46"/>
      <c r="L72" s="84"/>
    </row>
    <row r="73" spans="1:12" s="85" customFormat="1" ht="13.5" customHeight="1">
      <c r="A73" s="180" t="s">
        <v>195</v>
      </c>
      <c r="B73" s="52"/>
      <c r="C73" s="52"/>
      <c r="D73" s="52"/>
      <c r="E73" s="141"/>
      <c r="F73" s="83"/>
      <c r="G73" s="83"/>
      <c r="H73" s="69"/>
      <c r="I73" s="69"/>
      <c r="J73" s="69"/>
      <c r="K73" s="83"/>
      <c r="L73" s="84"/>
    </row>
    <row r="74" spans="1:12" s="85" customFormat="1" ht="13.5" customHeight="1">
      <c r="A74" s="177" t="s">
        <v>196</v>
      </c>
      <c r="B74" s="52"/>
      <c r="C74" s="52"/>
      <c r="D74" s="52"/>
      <c r="E74" s="141"/>
      <c r="F74" s="83"/>
      <c r="G74" s="83"/>
      <c r="H74" s="69"/>
      <c r="I74" s="69"/>
      <c r="J74" s="69"/>
      <c r="K74" s="83"/>
      <c r="L74" s="84"/>
    </row>
    <row r="75" spans="1:12" s="85" customFormat="1" ht="13.5" customHeight="1">
      <c r="A75" s="178" t="s">
        <v>86</v>
      </c>
      <c r="B75" s="52"/>
      <c r="C75" s="52"/>
      <c r="D75" s="52"/>
      <c r="E75" s="141"/>
      <c r="F75" s="83"/>
      <c r="G75" s="83"/>
      <c r="H75" s="69"/>
      <c r="I75" s="69"/>
      <c r="J75" s="69"/>
      <c r="K75" s="83"/>
      <c r="L75" s="84"/>
    </row>
    <row r="76" spans="1:12" s="85" customFormat="1" ht="13.5" customHeight="1">
      <c r="A76" s="179"/>
      <c r="B76" s="52"/>
      <c r="C76" s="52"/>
      <c r="D76" s="52"/>
      <c r="E76" s="141"/>
      <c r="F76" s="83"/>
      <c r="G76" s="83"/>
      <c r="H76" s="69"/>
      <c r="I76" s="69"/>
      <c r="J76" s="69"/>
      <c r="K76" s="83"/>
      <c r="L76" s="84"/>
    </row>
    <row r="77" spans="1:12" ht="12.75" customHeight="1">
      <c r="A77" s="177" t="s">
        <v>197</v>
      </c>
      <c r="B77" s="52"/>
      <c r="C77" s="52"/>
      <c r="D77" s="52"/>
      <c r="E77" s="137"/>
      <c r="H77" s="48"/>
      <c r="I77" s="48"/>
      <c r="J77" s="48"/>
      <c r="K77" s="10"/>
      <c r="L77" s="86"/>
    </row>
    <row r="78" spans="1:12" ht="12.75" customHeight="1">
      <c r="A78" s="177" t="s">
        <v>87</v>
      </c>
      <c r="B78" s="52"/>
      <c r="C78" s="52"/>
      <c r="D78" s="52"/>
      <c r="E78" s="137"/>
      <c r="H78" s="48"/>
      <c r="I78" s="48"/>
      <c r="J78" s="48"/>
      <c r="K78" s="10"/>
      <c r="L78" s="86"/>
    </row>
    <row r="79" spans="1:12" ht="12.75" customHeight="1">
      <c r="A79" s="177" t="s">
        <v>88</v>
      </c>
      <c r="B79" s="135"/>
      <c r="C79" s="136"/>
      <c r="D79" s="136"/>
      <c r="E79" s="137"/>
      <c r="K79" s="10"/>
      <c r="L79" s="86"/>
    </row>
    <row r="80" spans="1:12" ht="12.75" customHeight="1">
      <c r="A80" s="50"/>
      <c r="B80" s="87"/>
      <c r="C80" s="88"/>
      <c r="D80" s="88"/>
      <c r="K80" s="10"/>
      <c r="L80" s="86"/>
    </row>
    <row r="81" spans="1:13" ht="10.5" customHeight="1">
      <c r="A81" s="343"/>
      <c r="B81" s="344"/>
      <c r="C81" s="260"/>
      <c r="D81" s="260"/>
      <c r="E81" s="260"/>
      <c r="F81" s="260"/>
      <c r="G81" s="260"/>
      <c r="H81" s="260"/>
      <c r="I81" s="260"/>
      <c r="J81" s="260"/>
      <c r="K81" s="260"/>
    </row>
    <row r="82" spans="1:13" ht="77.25" customHeight="1">
      <c r="A82" s="345"/>
      <c r="B82" s="346"/>
      <c r="C82" s="256" t="str">
        <f>C2</f>
        <v>29th DAA, Mother Lode Fair</v>
      </c>
      <c r="D82" s="256" t="str">
        <f>D2</f>
        <v>35-A DAA, Mariposa County Fair</v>
      </c>
      <c r="E82" s="256" t="str">
        <f>E2</f>
        <v>41st DAA, 
Del Norte County Fair</v>
      </c>
      <c r="F82" s="256" t="s">
        <v>131</v>
      </c>
      <c r="G82" s="256" t="str">
        <f>G2</f>
        <v>44th DAA, Colusa County Fair</v>
      </c>
      <c r="H82" s="256" t="str">
        <f>H2</f>
        <v>49th DAA, Lake County Fair</v>
      </c>
      <c r="I82" s="256" t="str">
        <f>I2</f>
        <v>Butte County Fair</v>
      </c>
      <c r="J82" s="256" t="str">
        <f>J2</f>
        <v>Lassen County Fair FY 17/18</v>
      </c>
      <c r="K82" s="256" t="str">
        <f>K2</f>
        <v>Plumas-Sierra County Fair 
FY 17/18</v>
      </c>
    </row>
    <row r="83" spans="1:13" ht="13.5" customHeight="1">
      <c r="A83" s="262" t="s">
        <v>89</v>
      </c>
      <c r="B83" s="29"/>
      <c r="C83" s="54"/>
      <c r="D83" s="54"/>
      <c r="E83" s="54"/>
      <c r="F83" s="54"/>
      <c r="G83" s="54"/>
      <c r="H83" s="54"/>
      <c r="I83" s="53"/>
      <c r="J83" s="53"/>
      <c r="K83" s="55"/>
    </row>
    <row r="84" spans="1:13" ht="13.5" customHeight="1">
      <c r="A84" s="262" t="s">
        <v>90</v>
      </c>
      <c r="B84" s="29"/>
      <c r="C84" s="54"/>
      <c r="D84" s="54"/>
      <c r="E84" s="54"/>
      <c r="F84" s="54"/>
      <c r="G84" s="54"/>
      <c r="H84" s="54"/>
      <c r="I84" s="53"/>
      <c r="J84" s="53"/>
      <c r="K84" s="55"/>
    </row>
    <row r="85" spans="1:13" ht="13.5" customHeight="1">
      <c r="A85" s="267"/>
      <c r="B85" s="29" t="s">
        <v>91</v>
      </c>
      <c r="C85" s="30"/>
      <c r="D85" s="30"/>
      <c r="E85" s="30"/>
      <c r="F85" s="30"/>
      <c r="G85" s="30"/>
      <c r="H85" s="30"/>
      <c r="I85" s="18"/>
      <c r="J85" s="18"/>
      <c r="K85" s="19"/>
    </row>
    <row r="86" spans="1:13" ht="13.5" customHeight="1">
      <c r="A86" s="267"/>
      <c r="B86" s="29" t="s">
        <v>92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5">
        <v>300</v>
      </c>
      <c r="M86" s="56">
        <f t="shared" ref="M86" si="16">SUM(C86:I86)</f>
        <v>0</v>
      </c>
    </row>
    <row r="87" spans="1:13" ht="13.5" customHeight="1">
      <c r="A87" s="267"/>
      <c r="B87" s="29" t="s">
        <v>93</v>
      </c>
      <c r="C87" s="30">
        <v>314137.34000000003</v>
      </c>
      <c r="D87" s="30">
        <v>387249.2</v>
      </c>
      <c r="E87" s="30">
        <f>145095.27+19096.24</f>
        <v>164191.50999999998</v>
      </c>
      <c r="F87" s="30">
        <v>283251.3</v>
      </c>
      <c r="G87" s="30">
        <v>815287.76</v>
      </c>
      <c r="H87" s="30">
        <v>511069.51</v>
      </c>
      <c r="I87" s="30">
        <v>121696.79</v>
      </c>
      <c r="J87" s="30">
        <v>36528</v>
      </c>
      <c r="K87" s="19">
        <v>82692</v>
      </c>
      <c r="M87" s="56">
        <f>SUM(C87:H87)</f>
        <v>2475186.62</v>
      </c>
    </row>
    <row r="88" spans="1:13" ht="13.5" customHeight="1">
      <c r="A88" s="267"/>
      <c r="B88" s="29" t="s">
        <v>94</v>
      </c>
      <c r="C88" s="30">
        <v>127366.02</v>
      </c>
      <c r="D88" s="30">
        <v>8048.64</v>
      </c>
      <c r="E88" s="30">
        <f>4481.12+7761.45</f>
        <v>12242.57</v>
      </c>
      <c r="F88" s="30">
        <v>1175.3900000000001</v>
      </c>
      <c r="G88" s="30">
        <v>31267.47</v>
      </c>
      <c r="H88" s="30">
        <v>201790.49</v>
      </c>
      <c r="I88" s="30">
        <v>12834.66</v>
      </c>
      <c r="J88" s="30">
        <v>45828</v>
      </c>
      <c r="K88" s="19">
        <v>0</v>
      </c>
      <c r="M88" s="56">
        <f t="shared" ref="M88:M96" si="17">SUM(C88:H88)</f>
        <v>381890.58</v>
      </c>
    </row>
    <row r="89" spans="1:13" ht="13.5" customHeight="1">
      <c r="A89" s="267"/>
      <c r="B89" s="29" t="s">
        <v>95</v>
      </c>
      <c r="C89" s="30">
        <v>300</v>
      </c>
      <c r="D89" s="30">
        <v>15.84</v>
      </c>
      <c r="E89" s="30">
        <v>15126.56</v>
      </c>
      <c r="F89" s="30">
        <v>30580.37</v>
      </c>
      <c r="G89" s="30">
        <v>11582.2</v>
      </c>
      <c r="H89" s="30">
        <v>0</v>
      </c>
      <c r="I89" s="30">
        <v>1265.42</v>
      </c>
      <c r="J89" s="30">
        <v>10000</v>
      </c>
      <c r="K89" s="19">
        <v>2701</v>
      </c>
      <c r="M89" s="56">
        <f t="shared" si="17"/>
        <v>57604.97</v>
      </c>
    </row>
    <row r="90" spans="1:13" ht="13.5" customHeight="1">
      <c r="A90" s="267"/>
      <c r="B90" s="29" t="s">
        <v>96</v>
      </c>
      <c r="C90" s="30">
        <v>0</v>
      </c>
      <c r="D90" s="30">
        <v>0</v>
      </c>
      <c r="E90" s="30">
        <v>0</v>
      </c>
      <c r="F90" s="30">
        <v>0</v>
      </c>
      <c r="G90" s="30">
        <v>5567.88</v>
      </c>
      <c r="H90" s="30">
        <v>0</v>
      </c>
      <c r="I90" s="30">
        <v>0</v>
      </c>
      <c r="J90" s="30">
        <v>0</v>
      </c>
      <c r="K90" s="19">
        <v>0</v>
      </c>
      <c r="M90" s="56">
        <f t="shared" si="17"/>
        <v>5567.88</v>
      </c>
    </row>
    <row r="91" spans="1:13" ht="13.5" customHeight="1">
      <c r="A91" s="267"/>
      <c r="B91" s="29" t="s">
        <v>97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19">
        <v>0</v>
      </c>
      <c r="M91" s="56">
        <f t="shared" si="17"/>
        <v>0</v>
      </c>
    </row>
    <row r="92" spans="1:13" ht="13.5" customHeight="1">
      <c r="A92" s="267"/>
      <c r="B92" s="29" t="s">
        <v>98</v>
      </c>
      <c r="C92" s="30">
        <v>239127</v>
      </c>
      <c r="D92" s="30">
        <v>5243.39</v>
      </c>
      <c r="E92" s="30">
        <v>30352.53</v>
      </c>
      <c r="F92" s="30">
        <v>16264.28</v>
      </c>
      <c r="G92" s="30">
        <v>3298.23</v>
      </c>
      <c r="H92" s="30">
        <v>240661.51</v>
      </c>
      <c r="I92" s="30">
        <v>0</v>
      </c>
      <c r="J92" s="30">
        <v>86870</v>
      </c>
      <c r="K92" s="19">
        <v>28220</v>
      </c>
      <c r="M92" s="56">
        <f t="shared" si="17"/>
        <v>534946.94000000006</v>
      </c>
    </row>
    <row r="93" spans="1:13" ht="13.5" customHeight="1">
      <c r="A93" s="267"/>
      <c r="B93" s="29" t="s">
        <v>99</v>
      </c>
      <c r="C93" s="30">
        <v>2732400</v>
      </c>
      <c r="D93" s="30">
        <v>4067782.75</v>
      </c>
      <c r="E93" s="30">
        <v>2964972.18</v>
      </c>
      <c r="F93" s="30">
        <v>2802674.79</v>
      </c>
      <c r="G93" s="30">
        <v>3221404.91</v>
      </c>
      <c r="H93" s="30">
        <v>4272509.67</v>
      </c>
      <c r="I93" s="30">
        <v>2853584.52</v>
      </c>
      <c r="J93" s="30">
        <v>2053488</v>
      </c>
      <c r="K93" s="19">
        <v>161566</v>
      </c>
      <c r="M93" s="56">
        <f t="shared" si="17"/>
        <v>20061744.299999997</v>
      </c>
    </row>
    <row r="94" spans="1:13" ht="13.5" customHeight="1">
      <c r="A94" s="267"/>
      <c r="B94" s="29" t="s">
        <v>100</v>
      </c>
      <c r="C94" s="30">
        <v>250168</v>
      </c>
      <c r="D94" s="30">
        <v>193027.63</v>
      </c>
      <c r="E94" s="30">
        <v>186683.89</v>
      </c>
      <c r="F94" s="30">
        <v>67418.91</v>
      </c>
      <c r="G94" s="30">
        <v>179751.31</v>
      </c>
      <c r="H94" s="30">
        <v>106219.26</v>
      </c>
      <c r="I94" s="30">
        <v>114229.75</v>
      </c>
      <c r="J94" s="30">
        <v>306909</v>
      </c>
      <c r="K94" s="19">
        <v>190269</v>
      </c>
      <c r="M94" s="56">
        <f t="shared" si="17"/>
        <v>983269</v>
      </c>
    </row>
    <row r="95" spans="1:13" ht="13.5" customHeight="1">
      <c r="A95" s="267"/>
      <c r="B95" s="29" t="s">
        <v>101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16600</v>
      </c>
      <c r="I95" s="30">
        <v>0</v>
      </c>
      <c r="J95" s="30">
        <v>0</v>
      </c>
      <c r="K95" s="19">
        <v>1053642</v>
      </c>
      <c r="M95" s="56">
        <f t="shared" si="17"/>
        <v>16600</v>
      </c>
    </row>
    <row r="96" spans="1:13" ht="13.5" customHeight="1">
      <c r="A96" s="267"/>
      <c r="B96" s="29" t="s">
        <v>182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19">
        <v>0</v>
      </c>
      <c r="M96" s="56">
        <f t="shared" si="17"/>
        <v>0</v>
      </c>
    </row>
    <row r="97" spans="1:13" ht="13.5" customHeight="1">
      <c r="A97" s="267"/>
      <c r="B97" s="29" t="s">
        <v>102</v>
      </c>
      <c r="C97" s="30">
        <f>-1834800-250168</f>
        <v>-2084968</v>
      </c>
      <c r="D97" s="30">
        <f>-2982824.18-169267.9</f>
        <v>-3152092.08</v>
      </c>
      <c r="E97" s="30">
        <f>-1995790.71-171333.25</f>
        <v>-2167123.96</v>
      </c>
      <c r="F97" s="30">
        <f>-2161368.25-67418.91</f>
        <v>-2228787.16</v>
      </c>
      <c r="G97" s="30">
        <f>-2054279.08-153164.17</f>
        <v>-2207443.25</v>
      </c>
      <c r="H97" s="30">
        <f>-2880881.38-97398.95</f>
        <v>-2978280.33</v>
      </c>
      <c r="I97" s="30">
        <f>-1701980.35-114229.75</f>
        <v>-1816210.1</v>
      </c>
      <c r="J97" s="30">
        <f>-1229383-243466</f>
        <v>-1472849</v>
      </c>
      <c r="K97" s="19">
        <f>-157624-188849-783520</f>
        <v>-1129993</v>
      </c>
      <c r="M97" s="56">
        <f>SUM(C91:H97)</f>
        <v>6777865.4600000028</v>
      </c>
    </row>
    <row r="98" spans="1:13" ht="13.5" customHeight="1">
      <c r="A98" s="267"/>
      <c r="B98" s="29" t="s">
        <v>103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19">
        <v>0</v>
      </c>
    </row>
    <row r="99" spans="1:13" ht="13.5" customHeight="1">
      <c r="A99" s="250" t="s">
        <v>104</v>
      </c>
      <c r="B99" s="23"/>
      <c r="C99" s="24">
        <f>SUM(C85:C98)</f>
        <v>1578530.3600000003</v>
      </c>
      <c r="D99" s="24">
        <f t="shared" ref="D99:J99" si="18">SUM(D85:D98)</f>
        <v>1509275.37</v>
      </c>
      <c r="E99" s="24">
        <f>SUM(E85:E98)</f>
        <v>1206445.2800000003</v>
      </c>
      <c r="F99" s="24">
        <f t="shared" si="18"/>
        <v>972577.87999999989</v>
      </c>
      <c r="G99" s="24">
        <f t="shared" si="18"/>
        <v>2060716.5099999998</v>
      </c>
      <c r="H99" s="24">
        <f t="shared" si="18"/>
        <v>2370570.1099999994</v>
      </c>
      <c r="I99" s="24">
        <f t="shared" si="18"/>
        <v>1287401.04</v>
      </c>
      <c r="J99" s="24">
        <f t="shared" si="18"/>
        <v>1066774</v>
      </c>
      <c r="K99" s="24">
        <f>SUM(K85:K98)</f>
        <v>389397</v>
      </c>
      <c r="M99" s="58">
        <f>SUM(C99:H99)</f>
        <v>9698115.5099999998</v>
      </c>
    </row>
    <row r="100" spans="1:13" ht="13.5" customHeight="1">
      <c r="A100" s="250" t="s">
        <v>205</v>
      </c>
      <c r="B100" s="23"/>
      <c r="C100" s="24">
        <v>17287</v>
      </c>
      <c r="D100" s="24">
        <v>190101.61</v>
      </c>
      <c r="E100" s="24">
        <v>177939.31</v>
      </c>
      <c r="F100" s="24">
        <v>142944.48000000001</v>
      </c>
      <c r="G100" s="24">
        <v>131249.25</v>
      </c>
      <c r="H100" s="24">
        <v>151283.79999999999</v>
      </c>
      <c r="I100" s="24">
        <v>0</v>
      </c>
      <c r="J100" s="24">
        <v>0</v>
      </c>
      <c r="K100" s="24">
        <v>0</v>
      </c>
      <c r="M100" s="58">
        <f>SUM(C100:H100)</f>
        <v>810805.45</v>
      </c>
    </row>
    <row r="101" spans="1:13" s="22" customFormat="1" ht="13.5" customHeight="1">
      <c r="A101" s="272" t="s">
        <v>202</v>
      </c>
      <c r="B101" s="195"/>
      <c r="C101" s="196">
        <f>+C99+C100</f>
        <v>1595817.3600000003</v>
      </c>
      <c r="D101" s="196">
        <f t="shared" ref="D101:J101" si="19">+D99+D100</f>
        <v>1699376.98</v>
      </c>
      <c r="E101" s="196">
        <f t="shared" si="19"/>
        <v>1384384.5900000003</v>
      </c>
      <c r="F101" s="196">
        <f t="shared" si="19"/>
        <v>1115522.3599999999</v>
      </c>
      <c r="G101" s="196">
        <f t="shared" si="19"/>
        <v>2191965.7599999998</v>
      </c>
      <c r="H101" s="196">
        <f t="shared" si="19"/>
        <v>2521853.9099999992</v>
      </c>
      <c r="I101" s="196">
        <f t="shared" si="19"/>
        <v>1287401.04</v>
      </c>
      <c r="J101" s="196">
        <f t="shared" si="19"/>
        <v>1066774</v>
      </c>
      <c r="K101" s="196">
        <f>+K99+K100</f>
        <v>389397</v>
      </c>
      <c r="M101" s="58">
        <f>SUM(C101:H101)</f>
        <v>10508920.960000001</v>
      </c>
    </row>
    <row r="102" spans="1:13" ht="13.5" customHeight="1">
      <c r="A102" s="262" t="s">
        <v>203</v>
      </c>
      <c r="B102" s="29"/>
      <c r="C102" s="54"/>
      <c r="D102" s="54"/>
      <c r="E102" s="54"/>
      <c r="F102" s="54"/>
      <c r="G102" s="54"/>
      <c r="H102" s="54"/>
      <c r="I102" s="53"/>
      <c r="J102" s="53"/>
      <c r="K102" s="55"/>
    </row>
    <row r="103" spans="1:13" ht="13.5" customHeight="1">
      <c r="A103" s="267"/>
      <c r="B103" s="29" t="s">
        <v>105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-800.99</v>
      </c>
      <c r="I103" s="30">
        <v>0</v>
      </c>
      <c r="J103" s="30">
        <v>0</v>
      </c>
      <c r="K103" s="19">
        <v>46916</v>
      </c>
      <c r="M103" s="56">
        <f t="shared" ref="M103:M114" si="20">SUM(C103:H103)</f>
        <v>-800.99</v>
      </c>
    </row>
    <row r="104" spans="1:13" ht="13.5" customHeight="1">
      <c r="A104" s="267"/>
      <c r="B104" s="29" t="s">
        <v>106</v>
      </c>
      <c r="C104" s="30">
        <v>9798.08</v>
      </c>
      <c r="D104" s="30">
        <v>20916.77</v>
      </c>
      <c r="E104" s="30">
        <v>20883.189999999999</v>
      </c>
      <c r="F104" s="30">
        <v>-3635.47</v>
      </c>
      <c r="G104" s="30">
        <f>63083.29+2199.99</f>
        <v>65283.28</v>
      </c>
      <c r="H104" s="30"/>
      <c r="I104" s="30">
        <v>199786.3</v>
      </c>
      <c r="J104" s="30">
        <v>47856</v>
      </c>
      <c r="K104" s="19">
        <v>13649</v>
      </c>
      <c r="M104" s="56">
        <f t="shared" si="20"/>
        <v>113245.84999999999</v>
      </c>
    </row>
    <row r="105" spans="1:13" ht="13.5" customHeight="1">
      <c r="A105" s="267"/>
      <c r="B105" s="29" t="s">
        <v>107</v>
      </c>
      <c r="C105" s="30">
        <v>30</v>
      </c>
      <c r="D105" s="30">
        <v>10541.93</v>
      </c>
      <c r="E105" s="30">
        <v>5916.7</v>
      </c>
      <c r="F105" s="30">
        <v>2609.1</v>
      </c>
      <c r="G105" s="30">
        <v>674.78</v>
      </c>
      <c r="H105" s="30">
        <v>-3757.6400000000003</v>
      </c>
      <c r="I105" s="30">
        <v>6672.87</v>
      </c>
      <c r="J105" s="30">
        <v>13110</v>
      </c>
      <c r="K105" s="19">
        <v>0</v>
      </c>
      <c r="M105" s="56">
        <f t="shared" si="20"/>
        <v>16014.869999999999</v>
      </c>
    </row>
    <row r="106" spans="1:13" ht="13.5" customHeight="1">
      <c r="A106" s="267"/>
      <c r="B106" s="29" t="s">
        <v>108</v>
      </c>
      <c r="C106" s="30">
        <v>3745</v>
      </c>
      <c r="D106" s="30">
        <v>4620.24</v>
      </c>
      <c r="E106" s="30">
        <v>4280</v>
      </c>
      <c r="F106" s="30">
        <v>2657.03</v>
      </c>
      <c r="G106" s="30">
        <v>249600</v>
      </c>
      <c r="H106" s="30">
        <v>-85</v>
      </c>
      <c r="I106" s="30">
        <v>908.99</v>
      </c>
      <c r="J106" s="30">
        <v>0</v>
      </c>
      <c r="K106" s="19">
        <v>29590</v>
      </c>
      <c r="M106" s="56">
        <f t="shared" si="20"/>
        <v>264817.27</v>
      </c>
    </row>
    <row r="107" spans="1:13" ht="13.5" customHeight="1">
      <c r="A107" s="267"/>
      <c r="B107" s="29" t="s">
        <v>109</v>
      </c>
      <c r="C107" s="30">
        <v>0</v>
      </c>
      <c r="D107" s="30">
        <v>0</v>
      </c>
      <c r="E107" s="30">
        <v>2156.1</v>
      </c>
      <c r="F107" s="30">
        <v>6717.16</v>
      </c>
      <c r="G107" s="30">
        <f>19335+1367</f>
        <v>20702</v>
      </c>
      <c r="H107" s="30">
        <v>0</v>
      </c>
      <c r="I107" s="30">
        <v>9372.6200000000008</v>
      </c>
      <c r="J107" s="30">
        <v>0</v>
      </c>
      <c r="K107" s="19">
        <v>42587</v>
      </c>
      <c r="M107" s="56">
        <f t="shared" si="20"/>
        <v>29575.260000000002</v>
      </c>
    </row>
    <row r="108" spans="1:13" ht="13.5" customHeight="1">
      <c r="A108" s="267"/>
      <c r="B108" s="29" t="s">
        <v>110</v>
      </c>
      <c r="C108" s="30">
        <v>7110</v>
      </c>
      <c r="D108" s="30">
        <v>1000</v>
      </c>
      <c r="E108" s="30">
        <v>6430</v>
      </c>
      <c r="F108" s="30">
        <v>-165.31</v>
      </c>
      <c r="G108" s="30">
        <v>116060</v>
      </c>
      <c r="H108" s="30">
        <v>6397</v>
      </c>
      <c r="I108" s="30">
        <v>3155</v>
      </c>
      <c r="J108" s="30">
        <v>0</v>
      </c>
      <c r="K108" s="19">
        <v>0</v>
      </c>
      <c r="M108" s="56">
        <f t="shared" si="20"/>
        <v>136831.69</v>
      </c>
    </row>
    <row r="109" spans="1:13" ht="13.5" customHeight="1">
      <c r="A109" s="267"/>
      <c r="B109" s="29" t="s">
        <v>111</v>
      </c>
      <c r="C109" s="30">
        <v>0</v>
      </c>
      <c r="D109" s="30">
        <v>55627.35</v>
      </c>
      <c r="E109" s="30">
        <v>22098.23</v>
      </c>
      <c r="F109" s="30">
        <v>11874</v>
      </c>
      <c r="G109" s="30">
        <v>7083.65</v>
      </c>
      <c r="H109" s="30">
        <v>22476.17</v>
      </c>
      <c r="I109" s="30">
        <v>33068.620000000003</v>
      </c>
      <c r="J109" s="30">
        <v>0</v>
      </c>
      <c r="K109" s="19">
        <v>0</v>
      </c>
      <c r="M109" s="56">
        <f t="shared" si="20"/>
        <v>119159.4</v>
      </c>
    </row>
    <row r="110" spans="1:13" ht="13.5" customHeight="1">
      <c r="A110" s="267"/>
      <c r="B110" s="29" t="s">
        <v>112</v>
      </c>
      <c r="C110" s="30">
        <v>0</v>
      </c>
      <c r="D110" s="30">
        <v>2714.8</v>
      </c>
      <c r="E110" s="30">
        <v>14291.08</v>
      </c>
      <c r="F110" s="30">
        <v>24468.01</v>
      </c>
      <c r="G110" s="30">
        <v>0</v>
      </c>
      <c r="H110" s="30">
        <v>201790.49</v>
      </c>
      <c r="I110" s="30">
        <v>0</v>
      </c>
      <c r="J110" s="30">
        <v>0</v>
      </c>
      <c r="K110" s="19">
        <v>0</v>
      </c>
      <c r="M110" s="56">
        <f t="shared" si="20"/>
        <v>243264.38</v>
      </c>
    </row>
    <row r="111" spans="1:13" ht="13.5" customHeight="1">
      <c r="A111" s="267"/>
      <c r="B111" s="29" t="s">
        <v>208</v>
      </c>
      <c r="C111" s="30">
        <v>94091</v>
      </c>
      <c r="D111" s="30">
        <v>617606.85</v>
      </c>
      <c r="E111" s="30">
        <v>542299.94999999995</v>
      </c>
      <c r="F111" s="30">
        <v>499140.88</v>
      </c>
      <c r="G111" s="30">
        <v>396688.25</v>
      </c>
      <c r="H111" s="30">
        <v>453216.96</v>
      </c>
      <c r="I111" s="30">
        <v>0</v>
      </c>
      <c r="J111" s="30">
        <v>0</v>
      </c>
      <c r="K111" s="19">
        <v>0</v>
      </c>
      <c r="M111" s="56">
        <f t="shared" si="20"/>
        <v>2603043.8899999997</v>
      </c>
    </row>
    <row r="112" spans="1:13" ht="13.5" customHeight="1">
      <c r="A112" s="267"/>
      <c r="B112" s="29" t="s">
        <v>238</v>
      </c>
      <c r="C112" s="30">
        <v>0</v>
      </c>
      <c r="D112" s="30">
        <v>0</v>
      </c>
      <c r="E112" s="30">
        <v>0</v>
      </c>
      <c r="F112" s="30">
        <v>0</v>
      </c>
      <c r="G112" s="30">
        <v>0</v>
      </c>
      <c r="H112" s="30">
        <v>0</v>
      </c>
      <c r="I112" s="30">
        <v>0</v>
      </c>
      <c r="J112" s="30">
        <v>0</v>
      </c>
      <c r="K112" s="19">
        <v>0</v>
      </c>
      <c r="M112" s="56">
        <f t="shared" si="20"/>
        <v>0</v>
      </c>
    </row>
    <row r="113" spans="1:13" ht="13.5" customHeight="1">
      <c r="A113" s="250" t="s">
        <v>207</v>
      </c>
      <c r="B113" s="23"/>
      <c r="C113" s="24">
        <f>SUM(C103:C112)</f>
        <v>114774.08</v>
      </c>
      <c r="D113" s="24">
        <f t="shared" ref="D113:K113" si="21">SUM(D103:D112)</f>
        <v>713027.94</v>
      </c>
      <c r="E113" s="24">
        <f t="shared" si="21"/>
        <v>618355.25</v>
      </c>
      <c r="F113" s="24">
        <f t="shared" si="21"/>
        <v>543665.4</v>
      </c>
      <c r="G113" s="24">
        <f t="shared" si="21"/>
        <v>856091.96</v>
      </c>
      <c r="H113" s="24">
        <f t="shared" si="21"/>
        <v>679236.99</v>
      </c>
      <c r="I113" s="24">
        <f t="shared" si="21"/>
        <v>252964.39999999997</v>
      </c>
      <c r="J113" s="24">
        <f t="shared" si="21"/>
        <v>60966</v>
      </c>
      <c r="K113" s="24">
        <f t="shared" si="21"/>
        <v>132742</v>
      </c>
      <c r="M113" s="56">
        <f t="shared" si="20"/>
        <v>3525151.62</v>
      </c>
    </row>
    <row r="114" spans="1:13" ht="13.5" customHeight="1">
      <c r="A114" s="250" t="s">
        <v>206</v>
      </c>
      <c r="B114" s="23"/>
      <c r="C114" s="24">
        <v>878</v>
      </c>
      <c r="D114" s="24">
        <v>5763.88</v>
      </c>
      <c r="E114" s="24">
        <v>5061.07</v>
      </c>
      <c r="F114" s="24">
        <v>4658.28</v>
      </c>
      <c r="G114" s="24">
        <v>3702.13</v>
      </c>
      <c r="H114" s="24">
        <v>4229.6899999999996</v>
      </c>
      <c r="I114" s="24">
        <v>0</v>
      </c>
      <c r="J114" s="24">
        <v>0</v>
      </c>
      <c r="K114" s="24">
        <v>0</v>
      </c>
      <c r="M114" s="56">
        <f t="shared" si="20"/>
        <v>24293.05</v>
      </c>
    </row>
    <row r="115" spans="1:13" s="22" customFormat="1" ht="13.5" customHeight="1">
      <c r="A115" s="272" t="s">
        <v>204</v>
      </c>
      <c r="B115" s="195"/>
      <c r="C115" s="196">
        <f>+C113+C114</f>
        <v>115652.08</v>
      </c>
      <c r="D115" s="196">
        <f t="shared" ref="D115:K115" si="22">+D113+D114</f>
        <v>718791.82</v>
      </c>
      <c r="E115" s="196">
        <f t="shared" si="22"/>
        <v>623416.31999999995</v>
      </c>
      <c r="F115" s="196">
        <f t="shared" si="22"/>
        <v>548323.68000000005</v>
      </c>
      <c r="G115" s="196">
        <f t="shared" si="22"/>
        <v>859794.09</v>
      </c>
      <c r="H115" s="196">
        <f t="shared" si="22"/>
        <v>683466.67999999993</v>
      </c>
      <c r="I115" s="196">
        <f t="shared" si="22"/>
        <v>252964.39999999997</v>
      </c>
      <c r="J115" s="196">
        <f t="shared" si="22"/>
        <v>60966</v>
      </c>
      <c r="K115" s="196">
        <f t="shared" si="22"/>
        <v>132742</v>
      </c>
      <c r="M115" s="58">
        <f t="shared" ref="M115:M124" si="23">SUM(C115:H115)</f>
        <v>3549444.67</v>
      </c>
    </row>
    <row r="116" spans="1:13" ht="13.5" customHeight="1">
      <c r="A116" s="262" t="s">
        <v>113</v>
      </c>
      <c r="B116" s="29"/>
      <c r="C116" s="54"/>
      <c r="D116" s="54"/>
      <c r="E116" s="54"/>
      <c r="F116" s="54"/>
      <c r="G116" s="54"/>
      <c r="H116" s="54"/>
      <c r="I116" s="54"/>
      <c r="J116" s="54"/>
      <c r="K116" s="55"/>
      <c r="M116" s="56">
        <f t="shared" si="23"/>
        <v>0</v>
      </c>
    </row>
    <row r="117" spans="1:13" ht="13.5" customHeight="1">
      <c r="A117" s="267"/>
      <c r="B117" s="29" t="s">
        <v>114</v>
      </c>
      <c r="C117" s="30">
        <v>62204.28</v>
      </c>
      <c r="D117" s="30">
        <v>0</v>
      </c>
      <c r="E117" s="30">
        <v>26858</v>
      </c>
      <c r="F117" s="30">
        <v>132903.62</v>
      </c>
      <c r="G117" s="30">
        <v>184016.75</v>
      </c>
      <c r="H117" s="30">
        <v>7343.36</v>
      </c>
      <c r="I117" s="30">
        <v>65211.18</v>
      </c>
      <c r="J117" s="30">
        <v>0</v>
      </c>
      <c r="K117" s="19">
        <v>0</v>
      </c>
      <c r="M117" s="58">
        <f t="shared" si="23"/>
        <v>413326.01</v>
      </c>
    </row>
    <row r="118" spans="1:13" ht="13.5" customHeight="1">
      <c r="A118" s="267"/>
      <c r="B118" s="29" t="s">
        <v>40</v>
      </c>
      <c r="C118" s="30">
        <f>C64</f>
        <v>358916</v>
      </c>
      <c r="D118" s="30">
        <f t="shared" ref="D118:K118" si="24">D64</f>
        <v>302607.43000000005</v>
      </c>
      <c r="E118" s="30">
        <f t="shared" si="24"/>
        <v>102940</v>
      </c>
      <c r="F118" s="30">
        <f t="shared" si="24"/>
        <v>123082.1</v>
      </c>
      <c r="G118" s="30">
        <f t="shared" si="24"/>
        <v>218880.08999999997</v>
      </c>
      <c r="H118" s="30">
        <f t="shared" si="24"/>
        <v>681287.10000000033</v>
      </c>
      <c r="I118" s="30">
        <f t="shared" si="24"/>
        <v>-196966.62</v>
      </c>
      <c r="J118" s="30">
        <f t="shared" si="24"/>
        <v>31389</v>
      </c>
      <c r="K118" s="30">
        <f t="shared" si="24"/>
        <v>-47059</v>
      </c>
      <c r="M118" s="58">
        <f t="shared" si="23"/>
        <v>1787712.7200000004</v>
      </c>
    </row>
    <row r="119" spans="1:13" ht="13.5" customHeight="1">
      <c r="A119" s="267"/>
      <c r="B119" s="29" t="s">
        <v>234</v>
      </c>
      <c r="C119" s="30">
        <f>C65</f>
        <v>-77682</v>
      </c>
      <c r="D119" s="30">
        <f t="shared" ref="D119:K119" si="25">D65</f>
        <v>-433269.12</v>
      </c>
      <c r="E119" s="30">
        <f t="shared" si="25"/>
        <v>-369422</v>
      </c>
      <c r="F119" s="30">
        <f t="shared" si="25"/>
        <v>-360854.68000000005</v>
      </c>
      <c r="G119" s="30">
        <f t="shared" si="25"/>
        <v>-269141.13</v>
      </c>
      <c r="H119" s="30">
        <f t="shared" si="25"/>
        <v>-306162.85000000003</v>
      </c>
      <c r="I119" s="30">
        <f t="shared" si="25"/>
        <v>0</v>
      </c>
      <c r="J119" s="30">
        <f t="shared" si="25"/>
        <v>0</v>
      </c>
      <c r="K119" s="30">
        <f t="shared" si="25"/>
        <v>0</v>
      </c>
      <c r="M119" s="58">
        <f t="shared" si="23"/>
        <v>-1816531.7800000003</v>
      </c>
    </row>
    <row r="120" spans="1:13" ht="13.5" customHeight="1">
      <c r="A120" s="267"/>
      <c r="B120" s="29" t="s">
        <v>41</v>
      </c>
      <c r="C120" s="30">
        <f>C66</f>
        <v>0</v>
      </c>
      <c r="D120" s="30">
        <f t="shared" ref="D120:K120" si="26">D66</f>
        <v>0</v>
      </c>
      <c r="E120" s="30">
        <f t="shared" si="26"/>
        <v>0</v>
      </c>
      <c r="F120" s="30">
        <f t="shared" si="26"/>
        <v>14497.14</v>
      </c>
      <c r="G120" s="30">
        <f t="shared" si="26"/>
        <v>1405</v>
      </c>
      <c r="H120" s="30">
        <f t="shared" si="26"/>
        <v>0</v>
      </c>
      <c r="I120" s="30">
        <f t="shared" si="26"/>
        <v>14587.91</v>
      </c>
      <c r="J120" s="30">
        <f t="shared" si="26"/>
        <v>0</v>
      </c>
      <c r="K120" s="30">
        <f t="shared" si="26"/>
        <v>0</v>
      </c>
      <c r="M120" s="56">
        <f t="shared" si="23"/>
        <v>15902.14</v>
      </c>
    </row>
    <row r="121" spans="1:13" ht="13.5" customHeight="1">
      <c r="A121" s="267"/>
      <c r="B121" s="29" t="s">
        <v>115</v>
      </c>
      <c r="C121" s="30">
        <f>C67</f>
        <v>1136726</v>
      </c>
      <c r="D121" s="30">
        <f t="shared" ref="D121:K121" si="27">D67</f>
        <v>1111246.8900000001</v>
      </c>
      <c r="E121" s="30">
        <f t="shared" si="27"/>
        <v>1000594</v>
      </c>
      <c r="F121" s="30">
        <f t="shared" si="27"/>
        <v>657570.89999999991</v>
      </c>
      <c r="G121" s="30">
        <f t="shared" si="27"/>
        <v>1197010.97</v>
      </c>
      <c r="H121" s="30">
        <f t="shared" si="27"/>
        <v>1455919.6199999994</v>
      </c>
      <c r="I121" s="30">
        <f t="shared" si="27"/>
        <v>1151604.1700000002</v>
      </c>
      <c r="J121" s="30">
        <f t="shared" si="27"/>
        <v>974419</v>
      </c>
      <c r="K121" s="30">
        <f t="shared" si="27"/>
        <v>303704</v>
      </c>
      <c r="M121" s="56">
        <f t="shared" si="23"/>
        <v>6559068.379999999</v>
      </c>
    </row>
    <row r="122" spans="1:13" ht="13.5" customHeight="1">
      <c r="A122" s="273"/>
      <c r="B122" s="60" t="s">
        <v>103</v>
      </c>
      <c r="C122" s="62">
        <v>0</v>
      </c>
      <c r="D122" s="62">
        <v>0</v>
      </c>
      <c r="E122" s="62">
        <v>0</v>
      </c>
      <c r="F122" s="62">
        <v>0</v>
      </c>
      <c r="G122" s="62">
        <v>0</v>
      </c>
      <c r="H122" s="62">
        <v>0</v>
      </c>
      <c r="I122" s="62">
        <v>0</v>
      </c>
      <c r="J122" s="62">
        <v>0</v>
      </c>
      <c r="K122" s="61">
        <v>0</v>
      </c>
      <c r="M122" s="56">
        <f>SUM(C122:K122)</f>
        <v>0</v>
      </c>
    </row>
    <row r="123" spans="1:13" ht="13.5" customHeight="1">
      <c r="A123" s="250" t="s">
        <v>43</v>
      </c>
      <c r="B123" s="64"/>
      <c r="C123" s="65">
        <f>SUM(C117:C122)</f>
        <v>1480164.28</v>
      </c>
      <c r="D123" s="65">
        <f t="shared" ref="D123:K123" si="28">SUM(D117:D122)</f>
        <v>980585.20000000019</v>
      </c>
      <c r="E123" s="65">
        <f t="shared" si="28"/>
        <v>760970</v>
      </c>
      <c r="F123" s="65">
        <f>SUM(F117:F122)</f>
        <v>567199.07999999984</v>
      </c>
      <c r="G123" s="65">
        <f t="shared" si="28"/>
        <v>1332171.68</v>
      </c>
      <c r="H123" s="65">
        <f t="shared" si="28"/>
        <v>1838387.2299999997</v>
      </c>
      <c r="I123" s="65">
        <f t="shared" si="28"/>
        <v>1034436.6400000001</v>
      </c>
      <c r="J123" s="65">
        <f t="shared" ref="J123" si="29">SUM(J117:J122)</f>
        <v>1005808</v>
      </c>
      <c r="K123" s="65">
        <f t="shared" si="28"/>
        <v>256645</v>
      </c>
      <c r="M123" s="56">
        <f t="shared" si="23"/>
        <v>6959477.4699999997</v>
      </c>
    </row>
    <row r="124" spans="1:13" s="22" customFormat="1" ht="13.5" customHeight="1">
      <c r="A124" s="272" t="s">
        <v>209</v>
      </c>
      <c r="B124" s="195"/>
      <c r="C124" s="196">
        <f>SUM(C115:C122)</f>
        <v>1595816.3599999999</v>
      </c>
      <c r="D124" s="196">
        <f t="shared" ref="D124:K124" si="30">SUM(D115:D122)</f>
        <v>1699377.02</v>
      </c>
      <c r="E124" s="196">
        <f t="shared" si="30"/>
        <v>1384386.3199999998</v>
      </c>
      <c r="F124" s="196">
        <f t="shared" si="30"/>
        <v>1115522.7599999998</v>
      </c>
      <c r="G124" s="196">
        <f t="shared" si="30"/>
        <v>2191965.77</v>
      </c>
      <c r="H124" s="196">
        <f t="shared" si="30"/>
        <v>2521853.9099999992</v>
      </c>
      <c r="I124" s="196">
        <f t="shared" si="30"/>
        <v>1287401.04</v>
      </c>
      <c r="J124" s="196">
        <f t="shared" ref="J124" si="31">SUM(J115:J122)</f>
        <v>1066774</v>
      </c>
      <c r="K124" s="196">
        <f t="shared" si="30"/>
        <v>389387</v>
      </c>
      <c r="M124" s="58">
        <f t="shared" si="23"/>
        <v>10508922.139999997</v>
      </c>
    </row>
    <row r="125" spans="1:13" ht="13.5" customHeight="1">
      <c r="A125" s="68"/>
      <c r="B125" s="59" t="s">
        <v>85</v>
      </c>
      <c r="C125" s="83">
        <f>+C101-C124</f>
        <v>1.0000000004656613</v>
      </c>
      <c r="D125" s="83">
        <f t="shared" ref="D125:K125" si="32">+D101-D124</f>
        <v>-4.0000000037252903E-2</v>
      </c>
      <c r="E125" s="83">
        <f t="shared" si="32"/>
        <v>-1.7299999995157123</v>
      </c>
      <c r="F125" s="83">
        <f t="shared" si="32"/>
        <v>-0.39999999990686774</v>
      </c>
      <c r="G125" s="83">
        <f t="shared" si="32"/>
        <v>-1.0000000242143869E-2</v>
      </c>
      <c r="H125" s="83">
        <f t="shared" si="32"/>
        <v>0</v>
      </c>
      <c r="I125" s="83">
        <f>+I101-I124</f>
        <v>0</v>
      </c>
      <c r="J125" s="83">
        <f>+J101-J124</f>
        <v>0</v>
      </c>
      <c r="K125" s="83">
        <f t="shared" si="32"/>
        <v>10</v>
      </c>
    </row>
    <row r="126" spans="1:13" ht="13.5" customHeight="1">
      <c r="A126" s="59"/>
      <c r="B126" s="90"/>
      <c r="C126" s="91"/>
      <c r="D126" s="91"/>
      <c r="E126" s="91"/>
      <c r="F126" s="91"/>
      <c r="G126" s="91"/>
      <c r="H126" s="92"/>
      <c r="I126" s="91"/>
      <c r="J126" s="91"/>
      <c r="K126" s="91"/>
    </row>
    <row r="127" spans="1:13" ht="38.25" customHeight="1">
      <c r="A127" s="333" t="s">
        <v>116</v>
      </c>
      <c r="B127" s="334"/>
      <c r="C127" s="347">
        <f t="shared" ref="C127:K127" si="33">C57/(C32)</f>
        <v>2.3766374761850447E-2</v>
      </c>
      <c r="D127" s="338">
        <f t="shared" si="33"/>
        <v>-0.13402308225192058</v>
      </c>
      <c r="E127" s="338">
        <f t="shared" si="33"/>
        <v>-0.28834335622639029</v>
      </c>
      <c r="F127" s="338">
        <f t="shared" si="33"/>
        <v>0.10213929638976373</v>
      </c>
      <c r="G127" s="338">
        <f t="shared" si="33"/>
        <v>9.2244959027647205E-2</v>
      </c>
      <c r="H127" s="338">
        <f t="shared" si="33"/>
        <v>-0.47705637727147221</v>
      </c>
      <c r="I127" s="338">
        <f t="shared" si="33"/>
        <v>-0.20825373457406024</v>
      </c>
      <c r="J127" s="338">
        <f t="shared" ref="J127" si="34">J57/(J32)</f>
        <v>-0.34103249903807353</v>
      </c>
      <c r="K127" s="338">
        <f t="shared" si="33"/>
        <v>-0.21641201006283828</v>
      </c>
    </row>
    <row r="128" spans="1:13" ht="24">
      <c r="A128" s="241"/>
      <c r="B128" s="242" t="s">
        <v>117</v>
      </c>
      <c r="C128" s="348"/>
      <c r="D128" s="338"/>
      <c r="E128" s="338"/>
      <c r="F128" s="338"/>
      <c r="G128" s="338"/>
      <c r="H128" s="338"/>
      <c r="I128" s="338"/>
      <c r="J128" s="338"/>
      <c r="K128" s="338"/>
    </row>
    <row r="129" spans="1:12" ht="14.25">
      <c r="A129" s="243" t="s">
        <v>190</v>
      </c>
      <c r="B129" s="244"/>
      <c r="C129" s="339">
        <f t="shared" ref="C129:K129" si="35">(SUM(C87:C88))/SUM(C103:C108)</f>
        <v>21.346112861333999</v>
      </c>
      <c r="D129" s="339">
        <f t="shared" si="35"/>
        <v>10.660980060379288</v>
      </c>
      <c r="E129" s="339">
        <f t="shared" si="35"/>
        <v>4.4479938607356075</v>
      </c>
      <c r="F129" s="339">
        <f t="shared" si="35"/>
        <v>34.760322932694251</v>
      </c>
      <c r="G129" s="339">
        <f t="shared" si="35"/>
        <v>1.8715845368432256</v>
      </c>
      <c r="H129" s="339">
        <f t="shared" si="35"/>
        <v>406.56564216337682</v>
      </c>
      <c r="I129" s="339">
        <f t="shared" si="35"/>
        <v>0.61179641555649678</v>
      </c>
      <c r="J129" s="339">
        <f t="shared" ref="J129" si="36">(SUM(J87:J88))/SUM(J103:J108)</f>
        <v>1.3508512941639603</v>
      </c>
      <c r="K129" s="339">
        <f t="shared" si="35"/>
        <v>0.62295279564870198</v>
      </c>
    </row>
    <row r="130" spans="1:12" ht="36">
      <c r="A130" s="245"/>
      <c r="B130" s="246" t="s">
        <v>191</v>
      </c>
      <c r="C130" s="340"/>
      <c r="D130" s="340"/>
      <c r="E130" s="340"/>
      <c r="F130" s="340"/>
      <c r="G130" s="340"/>
      <c r="H130" s="340"/>
      <c r="I130" s="340"/>
      <c r="J130" s="340"/>
      <c r="K130" s="340"/>
    </row>
    <row r="131" spans="1:12" ht="14.25">
      <c r="A131" s="243" t="s">
        <v>192</v>
      </c>
      <c r="B131" s="244"/>
      <c r="C131" s="339">
        <f t="shared" ref="C131:K131" si="37">(SUM(C87:C88))/SUM(C103:C109)</f>
        <v>21.346112861333999</v>
      </c>
      <c r="D131" s="339">
        <f t="shared" si="37"/>
        <v>4.2639807935362315</v>
      </c>
      <c r="E131" s="339">
        <f t="shared" si="37"/>
        <v>2.8565742431459507</v>
      </c>
      <c r="F131" s="339">
        <f t="shared" si="37"/>
        <v>14.181265334796533</v>
      </c>
      <c r="G131" s="339">
        <f t="shared" si="37"/>
        <v>1.8427261503830692</v>
      </c>
      <c r="H131" s="339">
        <f t="shared" si="37"/>
        <v>29.421111585279789</v>
      </c>
      <c r="I131" s="339">
        <f t="shared" si="37"/>
        <v>0.53181969478709257</v>
      </c>
      <c r="J131" s="339">
        <f t="shared" ref="J131" si="38">(SUM(J87:J88))/SUM(J103:J109)</f>
        <v>1.3508512941639603</v>
      </c>
      <c r="K131" s="339">
        <f t="shared" si="37"/>
        <v>0.62295279564870198</v>
      </c>
    </row>
    <row r="132" spans="1:12" ht="24">
      <c r="A132" s="245"/>
      <c r="B132" s="246" t="s">
        <v>193</v>
      </c>
      <c r="C132" s="340"/>
      <c r="D132" s="340"/>
      <c r="E132" s="340"/>
      <c r="F132" s="340"/>
      <c r="G132" s="340"/>
      <c r="H132" s="340"/>
      <c r="I132" s="340"/>
      <c r="J132" s="340"/>
      <c r="K132" s="340"/>
    </row>
    <row r="133" spans="1:12" s="151" customFormat="1" ht="8.1" customHeight="1">
      <c r="A133" s="152"/>
      <c r="B133" s="153"/>
      <c r="C133" s="154"/>
      <c r="D133" s="154"/>
      <c r="E133" s="154"/>
      <c r="F133" s="154"/>
      <c r="G133" s="154"/>
      <c r="H133" s="154"/>
      <c r="I133" s="154"/>
      <c r="J133" s="154"/>
      <c r="K133" s="155"/>
    </row>
    <row r="134" spans="1:12" ht="13.5" customHeight="1">
      <c r="A134" s="248" t="s">
        <v>118</v>
      </c>
      <c r="B134" s="64"/>
      <c r="C134" s="337">
        <f t="shared" ref="C134:K134" si="39">C115/C101</f>
        <v>7.247200268582113E-2</v>
      </c>
      <c r="D134" s="337">
        <f t="shared" si="39"/>
        <v>0.42297373005488159</v>
      </c>
      <c r="E134" s="337">
        <f t="shared" si="39"/>
        <v>0.45032018161947313</v>
      </c>
      <c r="F134" s="337">
        <f t="shared" si="39"/>
        <v>0.49153983789262645</v>
      </c>
      <c r="G134" s="337">
        <f t="shared" si="39"/>
        <v>0.39224795646442945</v>
      </c>
      <c r="H134" s="337">
        <f t="shared" si="39"/>
        <v>0.27101755470046246</v>
      </c>
      <c r="I134" s="337">
        <f t="shared" si="39"/>
        <v>0.19649230670188053</v>
      </c>
      <c r="J134" s="337">
        <f t="shared" ref="J134" si="40">J115/J101</f>
        <v>5.7149874293899179E-2</v>
      </c>
      <c r="K134" s="337">
        <f t="shared" si="39"/>
        <v>0.34089117276198838</v>
      </c>
    </row>
    <row r="135" spans="1:12" ht="25.5">
      <c r="A135" s="241"/>
      <c r="B135" s="247" t="s">
        <v>119</v>
      </c>
      <c r="C135" s="337"/>
      <c r="D135" s="337"/>
      <c r="E135" s="337"/>
      <c r="F135" s="337"/>
      <c r="G135" s="337"/>
      <c r="H135" s="337"/>
      <c r="I135" s="337"/>
      <c r="J135" s="337"/>
      <c r="K135" s="337"/>
    </row>
    <row r="136" spans="1:12" ht="13.5" customHeight="1">
      <c r="A136" s="248" t="s">
        <v>120</v>
      </c>
      <c r="B136" s="249"/>
      <c r="C136" s="337">
        <f t="shared" ref="C136:K136" si="41">C123/C101</f>
        <v>0.92752737067605262</v>
      </c>
      <c r="D136" s="337">
        <f t="shared" si="41"/>
        <v>0.57702629348315648</v>
      </c>
      <c r="E136" s="337">
        <f t="shared" si="41"/>
        <v>0.54968106803326944</v>
      </c>
      <c r="F136" s="337">
        <f t="shared" si="41"/>
        <v>0.50846052068378078</v>
      </c>
      <c r="G136" s="337">
        <f t="shared" si="41"/>
        <v>0.60775204809768568</v>
      </c>
      <c r="H136" s="337">
        <f t="shared" si="41"/>
        <v>0.72898244529953771</v>
      </c>
      <c r="I136" s="337">
        <f t="shared" si="41"/>
        <v>0.80350769329811955</v>
      </c>
      <c r="J136" s="337">
        <f t="shared" ref="J136" si="42">J123/J101</f>
        <v>0.94285012570610083</v>
      </c>
      <c r="K136" s="337">
        <f t="shared" si="41"/>
        <v>0.65908314650600797</v>
      </c>
    </row>
    <row r="137" spans="1:12" ht="24">
      <c r="A137" s="241"/>
      <c r="B137" s="242" t="s">
        <v>121</v>
      </c>
      <c r="C137" s="337"/>
      <c r="D137" s="337"/>
      <c r="E137" s="337"/>
      <c r="F137" s="337"/>
      <c r="G137" s="337"/>
      <c r="H137" s="337"/>
      <c r="I137" s="337"/>
      <c r="J137" s="337"/>
      <c r="K137" s="337"/>
    </row>
    <row r="138" spans="1:12" ht="13.5" customHeight="1">
      <c r="A138" s="335" t="s">
        <v>122</v>
      </c>
      <c r="B138" s="336"/>
      <c r="C138" s="337">
        <f t="shared" ref="C138:K138" si="43">C115/C123</f>
        <v>7.8134624353994001E-2</v>
      </c>
      <c r="D138" s="337">
        <f t="shared" si="43"/>
        <v>0.73302332117596702</v>
      </c>
      <c r="E138" s="337">
        <f t="shared" si="43"/>
        <v>0.81923902387741954</v>
      </c>
      <c r="F138" s="337">
        <f t="shared" si="43"/>
        <v>0.96672173727785349</v>
      </c>
      <c r="G138" s="337">
        <f t="shared" si="43"/>
        <v>0.6454078726549719</v>
      </c>
      <c r="H138" s="337">
        <f t="shared" si="43"/>
        <v>0.37177514554428231</v>
      </c>
      <c r="I138" s="337">
        <f t="shared" si="43"/>
        <v>0.24454315539325824</v>
      </c>
      <c r="J138" s="337">
        <f t="shared" ref="J138" si="44">J115/J123</f>
        <v>6.0613954154271989E-2</v>
      </c>
      <c r="K138" s="337">
        <f t="shared" si="43"/>
        <v>0.51722028482923887</v>
      </c>
    </row>
    <row r="139" spans="1:12" ht="13.5" customHeight="1">
      <c r="A139" s="241"/>
      <c r="B139" s="242" t="s">
        <v>123</v>
      </c>
      <c r="C139" s="337"/>
      <c r="D139" s="337"/>
      <c r="E139" s="337"/>
      <c r="F139" s="337"/>
      <c r="G139" s="337"/>
      <c r="H139" s="337"/>
      <c r="I139" s="337"/>
      <c r="J139" s="337"/>
      <c r="K139" s="337"/>
    </row>
    <row r="140" spans="1:12" s="151" customFormat="1" ht="8.1" customHeight="1">
      <c r="A140" s="156"/>
      <c r="B140" s="157"/>
      <c r="C140" s="157"/>
      <c r="D140" s="157"/>
      <c r="E140" s="157"/>
      <c r="F140" s="157"/>
      <c r="G140" s="157"/>
      <c r="H140" s="157"/>
      <c r="I140" s="157"/>
      <c r="J140" s="157"/>
      <c r="K140" s="163"/>
    </row>
    <row r="141" spans="1:12">
      <c r="A141" s="250" t="s">
        <v>124</v>
      </c>
      <c r="B141" s="23"/>
      <c r="C141" s="89">
        <v>0</v>
      </c>
      <c r="D141" s="54">
        <v>3</v>
      </c>
      <c r="E141" s="54">
        <v>4</v>
      </c>
      <c r="F141" s="54">
        <v>1</v>
      </c>
      <c r="G141" s="54">
        <v>1</v>
      </c>
      <c r="H141" s="54">
        <v>3</v>
      </c>
      <c r="I141" s="54">
        <v>3</v>
      </c>
      <c r="J141" s="54">
        <v>3</v>
      </c>
      <c r="K141" s="55">
        <v>2</v>
      </c>
      <c r="L141" s="93">
        <f>AVERAGE(C141:K141)</f>
        <v>2.2222222222222223</v>
      </c>
    </row>
    <row r="142" spans="1:12" s="151" customFormat="1" ht="8.1" customHeight="1">
      <c r="A142" s="162"/>
      <c r="B142" s="157"/>
      <c r="C142" s="157"/>
      <c r="D142" s="157"/>
      <c r="E142" s="157"/>
      <c r="F142" s="157"/>
      <c r="G142" s="157"/>
      <c r="H142" s="157"/>
      <c r="I142" s="157"/>
      <c r="J142" s="157"/>
      <c r="K142" s="163"/>
    </row>
    <row r="143" spans="1:12">
      <c r="A143" s="252" t="s">
        <v>125</v>
      </c>
      <c r="B143" s="252"/>
      <c r="C143" s="173">
        <v>7419</v>
      </c>
      <c r="D143" s="173">
        <v>11801</v>
      </c>
      <c r="E143" s="173">
        <v>12130</v>
      </c>
      <c r="F143" s="107">
        <v>13192</v>
      </c>
      <c r="G143" s="164">
        <v>12388</v>
      </c>
      <c r="H143" s="173">
        <v>17195</v>
      </c>
      <c r="I143" s="173">
        <v>13648</v>
      </c>
      <c r="J143" s="173">
        <v>12384</v>
      </c>
      <c r="K143" s="70">
        <v>5457</v>
      </c>
      <c r="L143" s="96">
        <f>AVERAGE(C143:K143)</f>
        <v>11734.888888888889</v>
      </c>
    </row>
    <row r="144" spans="1:12">
      <c r="A144" s="251" t="s">
        <v>126</v>
      </c>
      <c r="B144" s="251"/>
      <c r="C144" s="173">
        <v>1443</v>
      </c>
      <c r="D144" s="173">
        <v>4457</v>
      </c>
      <c r="E144" s="173">
        <v>8332</v>
      </c>
      <c r="F144" s="107">
        <v>3474</v>
      </c>
      <c r="G144" s="164">
        <v>5396</v>
      </c>
      <c r="H144" s="173">
        <v>5173</v>
      </c>
      <c r="I144" s="54">
        <v>5807</v>
      </c>
      <c r="J144" s="54">
        <v>252</v>
      </c>
      <c r="K144" s="70">
        <v>349</v>
      </c>
      <c r="L144" s="96">
        <f>AVERAGE(C144:K144)</f>
        <v>3853.6666666666665</v>
      </c>
    </row>
    <row r="145" spans="1:12">
      <c r="A145" s="251" t="s">
        <v>127</v>
      </c>
      <c r="B145" s="251"/>
      <c r="C145" s="173">
        <v>8862</v>
      </c>
      <c r="D145" s="173">
        <v>16258</v>
      </c>
      <c r="E145" s="173">
        <v>20462</v>
      </c>
      <c r="F145" s="107">
        <v>16666</v>
      </c>
      <c r="G145" s="164">
        <v>17784</v>
      </c>
      <c r="H145" s="173">
        <v>22368</v>
      </c>
      <c r="I145" s="173">
        <v>19455</v>
      </c>
      <c r="J145" s="173">
        <v>12636</v>
      </c>
      <c r="K145" s="70">
        <v>5806</v>
      </c>
      <c r="L145" s="96">
        <f>AVERAGE(C145:K145)</f>
        <v>15588.555555555555</v>
      </c>
    </row>
    <row r="146" spans="1:12">
      <c r="F146" s="95"/>
      <c r="L146" s="48"/>
    </row>
    <row r="147" spans="1:12">
      <c r="L147" s="48"/>
    </row>
    <row r="148" spans="1:12">
      <c r="A148" s="192"/>
      <c r="B148" s="52"/>
      <c r="K148" s="10"/>
    </row>
    <row r="149" spans="1:12">
      <c r="A149" s="192"/>
      <c r="B149" s="52"/>
      <c r="K149" s="10"/>
    </row>
  </sheetData>
  <mergeCells count="67">
    <mergeCell ref="J138:J139"/>
    <mergeCell ref="K138:K139"/>
    <mergeCell ref="E138:E139"/>
    <mergeCell ref="F138:F139"/>
    <mergeCell ref="G138:G139"/>
    <mergeCell ref="H138:H139"/>
    <mergeCell ref="I138:I139"/>
    <mergeCell ref="J136:J137"/>
    <mergeCell ref="K136:K137"/>
    <mergeCell ref="E136:E137"/>
    <mergeCell ref="F136:F137"/>
    <mergeCell ref="G136:G137"/>
    <mergeCell ref="H136:H137"/>
    <mergeCell ref="I136:I137"/>
    <mergeCell ref="J134:J135"/>
    <mergeCell ref="K134:K135"/>
    <mergeCell ref="E134:E135"/>
    <mergeCell ref="F134:F135"/>
    <mergeCell ref="G134:G135"/>
    <mergeCell ref="H134:H135"/>
    <mergeCell ref="I134:I135"/>
    <mergeCell ref="J131:J132"/>
    <mergeCell ref="K131:K132"/>
    <mergeCell ref="E131:E132"/>
    <mergeCell ref="F131:F132"/>
    <mergeCell ref="G131:G132"/>
    <mergeCell ref="H131:H132"/>
    <mergeCell ref="I131:I132"/>
    <mergeCell ref="J129:J130"/>
    <mergeCell ref="K129:K130"/>
    <mergeCell ref="E129:E130"/>
    <mergeCell ref="F129:F130"/>
    <mergeCell ref="G129:G130"/>
    <mergeCell ref="H129:H130"/>
    <mergeCell ref="I129:I130"/>
    <mergeCell ref="J127:J128"/>
    <mergeCell ref="K127:K128"/>
    <mergeCell ref="E127:E128"/>
    <mergeCell ref="F127:F128"/>
    <mergeCell ref="G127:G128"/>
    <mergeCell ref="H127:H128"/>
    <mergeCell ref="I127:I128"/>
    <mergeCell ref="A81:B82"/>
    <mergeCell ref="A127:B127"/>
    <mergeCell ref="A138:B138"/>
    <mergeCell ref="C127:C128"/>
    <mergeCell ref="D127:D128"/>
    <mergeCell ref="C129:C130"/>
    <mergeCell ref="D129:D130"/>
    <mergeCell ref="C131:C132"/>
    <mergeCell ref="D131:D132"/>
    <mergeCell ref="C134:C135"/>
    <mergeCell ref="D134:D135"/>
    <mergeCell ref="C136:C137"/>
    <mergeCell ref="D136:D137"/>
    <mergeCell ref="C138:C139"/>
    <mergeCell ref="D138:D139"/>
    <mergeCell ref="I2:I3"/>
    <mergeCell ref="J2:J3"/>
    <mergeCell ref="K2:K3"/>
    <mergeCell ref="F2:F3"/>
    <mergeCell ref="G2:G3"/>
    <mergeCell ref="A1:B3"/>
    <mergeCell ref="C2:C3"/>
    <mergeCell ref="D2:D3"/>
    <mergeCell ref="E2:E3"/>
    <mergeCell ref="H2:H3"/>
  </mergeCells>
  <conditionalFormatting sqref="C127:I128 K127:K128">
    <cfRule type="cellIs" dxfId="44" priority="6" operator="lessThan">
      <formula>0</formula>
    </cfRule>
  </conditionalFormatting>
  <conditionalFormatting sqref="C69:I69 K69">
    <cfRule type="cellIs" dxfId="43" priority="5" operator="lessThan">
      <formula>0</formula>
    </cfRule>
  </conditionalFormatting>
  <conditionalFormatting sqref="J69">
    <cfRule type="cellIs" dxfId="42" priority="2" operator="lessThan">
      <formula>0</formula>
    </cfRule>
  </conditionalFormatting>
  <conditionalFormatting sqref="J127:J128">
    <cfRule type="cellIs" dxfId="41" priority="1" operator="lessThan">
      <formula>0</formula>
    </cfRule>
  </conditionalFormatting>
  <printOptions horizontalCentered="1"/>
  <pageMargins left="0.5" right="0.5" top="0.75" bottom="0.35" header="0.5" footer="0.15"/>
  <pageSetup scale="66" orientation="portrait" r:id="rId1"/>
  <headerFooter alignWithMargins="0">
    <oddHeader>&amp;C&amp;"Arial,Bold"&amp;14CLASS II FAIRS</oddHeader>
    <oddFooter>&amp;CFairs and Expositions</oddFooter>
  </headerFooter>
  <rowBreaks count="1" manualBreakCount="1">
    <brk id="80" max="16383" man="1"/>
  </rowBreaks>
  <colBreaks count="1" manualBreakCount="1">
    <brk id="7" max="143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49"/>
  <sheetViews>
    <sheetView view="pageBreakPreview" zoomScale="85" zoomScaleNormal="9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G129" sqref="G129:G130"/>
    </sheetView>
  </sheetViews>
  <sheetFormatPr defaultRowHeight="12.75"/>
  <cols>
    <col min="1" max="1" width="4.7109375" style="10" customWidth="1"/>
    <col min="2" max="2" width="56.42578125" style="10" customWidth="1"/>
    <col min="3" max="3" width="13" style="48" customWidth="1"/>
    <col min="4" max="13" width="12.7109375" style="10" customWidth="1"/>
    <col min="14" max="14" width="12.7109375" style="48" customWidth="1"/>
    <col min="15" max="16" width="12.7109375" style="10" customWidth="1"/>
    <col min="17" max="17" width="14.140625" style="10" customWidth="1"/>
    <col min="18" max="19" width="11.7109375" style="10" customWidth="1"/>
    <col min="20" max="16384" width="9.140625" style="10"/>
  </cols>
  <sheetData>
    <row r="1" spans="1:18" ht="12" customHeight="1">
      <c r="A1" s="318"/>
      <c r="B1" s="319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78"/>
      <c r="O1" s="260"/>
      <c r="P1" s="260"/>
    </row>
    <row r="2" spans="1:18" ht="12" customHeight="1">
      <c r="A2" s="320"/>
      <c r="B2" s="321"/>
      <c r="C2" s="327" t="s">
        <v>136</v>
      </c>
      <c r="D2" s="327" t="s">
        <v>137</v>
      </c>
      <c r="E2" s="327" t="s">
        <v>138</v>
      </c>
      <c r="F2" s="324" t="s">
        <v>139</v>
      </c>
      <c r="G2" s="349" t="s">
        <v>221</v>
      </c>
      <c r="H2" s="327" t="s">
        <v>140</v>
      </c>
      <c r="I2" s="327" t="s">
        <v>141</v>
      </c>
      <c r="J2" s="327" t="s">
        <v>142</v>
      </c>
      <c r="K2" s="327" t="s">
        <v>143</v>
      </c>
      <c r="L2" s="327" t="s">
        <v>144</v>
      </c>
      <c r="M2" s="327" t="s">
        <v>145</v>
      </c>
      <c r="N2" s="327" t="s">
        <v>200</v>
      </c>
      <c r="O2" s="327" t="s">
        <v>146</v>
      </c>
      <c r="P2" s="327" t="s">
        <v>147</v>
      </c>
    </row>
    <row r="3" spans="1:18" ht="69" customHeight="1">
      <c r="A3" s="322"/>
      <c r="B3" s="323"/>
      <c r="C3" s="328"/>
      <c r="D3" s="328"/>
      <c r="E3" s="328"/>
      <c r="F3" s="325"/>
      <c r="G3" s="350"/>
      <c r="H3" s="328"/>
      <c r="I3" s="328"/>
      <c r="J3" s="328"/>
      <c r="K3" s="328"/>
      <c r="L3" s="328"/>
      <c r="M3" s="328"/>
      <c r="N3" s="328"/>
      <c r="O3" s="328"/>
      <c r="P3" s="328"/>
      <c r="R3" s="10" t="s">
        <v>39</v>
      </c>
    </row>
    <row r="4" spans="1:18" ht="13.5" customHeight="1">
      <c r="A4" s="262" t="s">
        <v>227</v>
      </c>
      <c r="B4" s="12"/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9"/>
      <c r="O4" s="37"/>
      <c r="P4" s="38"/>
    </row>
    <row r="5" spans="1:18" ht="13.5" customHeight="1">
      <c r="A5" s="262"/>
      <c r="B5" s="12" t="s">
        <v>40</v>
      </c>
      <c r="C5" s="14">
        <v>-409650.26</v>
      </c>
      <c r="D5" s="14">
        <v>564044</v>
      </c>
      <c r="E5" s="219">
        <v>461031</v>
      </c>
      <c r="F5" s="219">
        <v>269442</v>
      </c>
      <c r="G5" s="219"/>
      <c r="H5" s="14">
        <v>168267</v>
      </c>
      <c r="I5" s="14">
        <v>93209</v>
      </c>
      <c r="J5" s="14">
        <v>30104</v>
      </c>
      <c r="K5" s="14">
        <v>71976</v>
      </c>
      <c r="L5" s="14">
        <v>124473.35</v>
      </c>
      <c r="M5" s="14">
        <v>1972035</v>
      </c>
      <c r="N5" s="15">
        <v>1411635</v>
      </c>
      <c r="O5" s="14">
        <v>30351.79</v>
      </c>
      <c r="P5" s="294">
        <v>410229</v>
      </c>
    </row>
    <row r="6" spans="1:18" ht="13.5" customHeight="1">
      <c r="A6" s="262"/>
      <c r="B6" s="12" t="s">
        <v>214</v>
      </c>
      <c r="C6" s="30">
        <v>-474604.4</v>
      </c>
      <c r="D6" s="30">
        <v>-412734</v>
      </c>
      <c r="E6" s="31">
        <v>-480873</v>
      </c>
      <c r="F6" s="17">
        <v>-493844</v>
      </c>
      <c r="G6" s="17"/>
      <c r="H6" s="30">
        <v>-428616</v>
      </c>
      <c r="I6" s="30">
        <v>-226727</v>
      </c>
      <c r="J6" s="30">
        <v>-190600</v>
      </c>
      <c r="K6" s="30">
        <v>-145517</v>
      </c>
      <c r="L6" s="30">
        <v>-302991.53999999998</v>
      </c>
      <c r="M6" s="30">
        <v>-609931.13</v>
      </c>
      <c r="N6" s="19">
        <v>0</v>
      </c>
      <c r="O6" s="30">
        <v>0</v>
      </c>
      <c r="P6" s="291">
        <v>0</v>
      </c>
    </row>
    <row r="7" spans="1:18" ht="13.5" customHeight="1">
      <c r="A7" s="262"/>
      <c r="B7" s="12" t="s">
        <v>41</v>
      </c>
      <c r="C7" s="30">
        <v>0</v>
      </c>
      <c r="D7" s="30">
        <v>0</v>
      </c>
      <c r="E7" s="31">
        <v>1465462</v>
      </c>
      <c r="F7" s="17">
        <v>0</v>
      </c>
      <c r="G7" s="17"/>
      <c r="H7" s="30"/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19">
        <v>0</v>
      </c>
      <c r="O7" s="30">
        <v>0</v>
      </c>
      <c r="P7" s="291">
        <v>0</v>
      </c>
    </row>
    <row r="8" spans="1:18" ht="13.5" customHeight="1">
      <c r="A8" s="262"/>
      <c r="B8" s="12" t="s">
        <v>42</v>
      </c>
      <c r="C8" s="16">
        <v>1683459.85</v>
      </c>
      <c r="D8" s="31">
        <v>649498</v>
      </c>
      <c r="E8" s="31">
        <v>0</v>
      </c>
      <c r="F8" s="17">
        <v>769498</v>
      </c>
      <c r="G8" s="17"/>
      <c r="H8" s="31">
        <v>750656</v>
      </c>
      <c r="I8" s="31">
        <v>787731</v>
      </c>
      <c r="J8" s="31">
        <v>1614523</v>
      </c>
      <c r="K8" s="31">
        <v>1252309</v>
      </c>
      <c r="L8" s="31">
        <v>893156.62</v>
      </c>
      <c r="M8" s="31">
        <v>1953801</v>
      </c>
      <c r="N8" s="17">
        <v>493931</v>
      </c>
      <c r="O8" s="16">
        <v>643637.44999999949</v>
      </c>
      <c r="P8" s="291">
        <v>1544205</v>
      </c>
    </row>
    <row r="9" spans="1:18" ht="13.5" customHeight="1">
      <c r="A9" s="262"/>
      <c r="B9" s="12" t="s">
        <v>226</v>
      </c>
      <c r="C9" s="75">
        <v>352.47</v>
      </c>
      <c r="D9" s="97">
        <v>0</v>
      </c>
      <c r="E9" s="97">
        <v>12576</v>
      </c>
      <c r="F9" s="74">
        <v>68867.289999999994</v>
      </c>
      <c r="G9" s="74">
        <v>0</v>
      </c>
      <c r="H9" s="97">
        <v>-4874.2299999999996</v>
      </c>
      <c r="I9" s="97">
        <v>0</v>
      </c>
      <c r="J9" s="97">
        <v>0</v>
      </c>
      <c r="K9" s="97">
        <v>-708.17000000015832</v>
      </c>
      <c r="L9" s="97">
        <v>0</v>
      </c>
      <c r="M9" s="97">
        <v>-8967</v>
      </c>
      <c r="N9" s="74">
        <v>0</v>
      </c>
      <c r="O9" s="75">
        <v>0</v>
      </c>
      <c r="P9" s="292">
        <v>0</v>
      </c>
      <c r="R9" s="20">
        <f>SUM(C9:M9)</f>
        <v>67246.359999999841</v>
      </c>
    </row>
    <row r="10" spans="1:18" s="22" customFormat="1" ht="13.5" customHeight="1" thickBot="1">
      <c r="A10" s="263"/>
      <c r="B10" s="98" t="s">
        <v>43</v>
      </c>
      <c r="C10" s="67">
        <f>SUM(C5:C9)</f>
        <v>799557.66</v>
      </c>
      <c r="D10" s="67">
        <f t="shared" ref="D10:P10" si="0">SUM(D5:D9)</f>
        <v>800808</v>
      </c>
      <c r="E10" s="67">
        <f t="shared" si="0"/>
        <v>1458196</v>
      </c>
      <c r="F10" s="67">
        <f t="shared" si="0"/>
        <v>613963.29</v>
      </c>
      <c r="G10" s="67">
        <f t="shared" si="0"/>
        <v>0</v>
      </c>
      <c r="H10" s="67">
        <f t="shared" si="0"/>
        <v>485432.77</v>
      </c>
      <c r="I10" s="67">
        <f t="shared" si="0"/>
        <v>654213</v>
      </c>
      <c r="J10" s="67">
        <f t="shared" si="0"/>
        <v>1454027</v>
      </c>
      <c r="K10" s="67">
        <f t="shared" si="0"/>
        <v>1178059.8299999998</v>
      </c>
      <c r="L10" s="67">
        <f t="shared" si="0"/>
        <v>714638.43</v>
      </c>
      <c r="M10" s="67">
        <f t="shared" si="0"/>
        <v>3306937.87</v>
      </c>
      <c r="N10" s="67">
        <f t="shared" ref="N10" si="1">SUM(N5:N9)</f>
        <v>1905566</v>
      </c>
      <c r="O10" s="67">
        <f t="shared" si="0"/>
        <v>673989.23999999953</v>
      </c>
      <c r="P10" s="67">
        <f t="shared" si="0"/>
        <v>1954434</v>
      </c>
      <c r="R10" s="20">
        <f>SUM(C10:M10)</f>
        <v>11465833.850000001</v>
      </c>
    </row>
    <row r="11" spans="1:18" s="22" customFormat="1" ht="13.5" customHeight="1">
      <c r="A11" s="241" t="s">
        <v>44</v>
      </c>
      <c r="B11" s="36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</row>
    <row r="12" spans="1:18" s="22" customFormat="1" ht="13.5" customHeight="1">
      <c r="A12" s="264"/>
      <c r="B12" s="23" t="s">
        <v>45</v>
      </c>
      <c r="C12" s="24">
        <v>42009</v>
      </c>
      <c r="D12" s="24">
        <v>42009</v>
      </c>
      <c r="E12" s="24">
        <v>42009</v>
      </c>
      <c r="F12" s="24">
        <v>42009</v>
      </c>
      <c r="G12" s="24"/>
      <c r="H12" s="24">
        <v>42009</v>
      </c>
      <c r="I12" s="24">
        <v>42009</v>
      </c>
      <c r="J12" s="24">
        <v>42009</v>
      </c>
      <c r="K12" s="24">
        <v>42009</v>
      </c>
      <c r="L12" s="24">
        <v>42009</v>
      </c>
      <c r="M12" s="24">
        <v>42009</v>
      </c>
      <c r="N12" s="24">
        <v>42009</v>
      </c>
      <c r="O12" s="24">
        <v>42009</v>
      </c>
      <c r="P12" s="24">
        <v>42009</v>
      </c>
      <c r="R12" s="20">
        <f>SUM(C12:M12)</f>
        <v>420090</v>
      </c>
    </row>
    <row r="13" spans="1:18" s="22" customFormat="1" ht="13.5" customHeight="1">
      <c r="A13" s="264"/>
      <c r="B13" s="23" t="s">
        <v>46</v>
      </c>
      <c r="C13" s="24">
        <v>199952.36</v>
      </c>
      <c r="D13" s="24">
        <v>54185</v>
      </c>
      <c r="E13" s="24">
        <v>280565.42</v>
      </c>
      <c r="F13" s="24">
        <v>2661</v>
      </c>
      <c r="G13" s="24"/>
      <c r="H13" s="24">
        <v>211334.73</v>
      </c>
      <c r="I13" s="24">
        <v>65000</v>
      </c>
      <c r="J13" s="24">
        <v>0</v>
      </c>
      <c r="K13" s="24">
        <v>92296.72</v>
      </c>
      <c r="L13" s="24">
        <v>113733.99</v>
      </c>
      <c r="M13" s="24">
        <v>75190.7</v>
      </c>
      <c r="N13" s="24">
        <v>31810</v>
      </c>
      <c r="O13" s="24">
        <v>0</v>
      </c>
      <c r="P13" s="24">
        <v>0</v>
      </c>
      <c r="R13" s="20">
        <f>SUM(C13:M13)</f>
        <v>1094919.92</v>
      </c>
    </row>
    <row r="14" spans="1:18" s="22" customFormat="1" ht="13.5" customHeight="1" thickBot="1">
      <c r="A14" s="265"/>
      <c r="B14" s="32" t="s">
        <v>47</v>
      </c>
      <c r="C14" s="33">
        <f>1556.17+9761.97</f>
        <v>11318.14</v>
      </c>
      <c r="D14" s="33">
        <f>138779+2661+36436</f>
        <v>177876</v>
      </c>
      <c r="E14" s="33">
        <v>2661</v>
      </c>
      <c r="F14" s="33">
        <f>8840+30890.98+25425.78</f>
        <v>65156.759999999995</v>
      </c>
      <c r="G14" s="33"/>
      <c r="H14" s="33">
        <v>0</v>
      </c>
      <c r="I14" s="33">
        <f>2661+10000</f>
        <v>12661</v>
      </c>
      <c r="J14" s="33">
        <v>3886</v>
      </c>
      <c r="K14" s="33">
        <v>135082.75</v>
      </c>
      <c r="L14" s="33">
        <v>9000</v>
      </c>
      <c r="M14" s="33">
        <f>1513+9687.59</f>
        <v>11200.59</v>
      </c>
      <c r="N14" s="33">
        <v>0</v>
      </c>
      <c r="O14" s="33">
        <v>0</v>
      </c>
      <c r="P14" s="33">
        <v>1307</v>
      </c>
      <c r="R14" s="20">
        <f>SUM(C14:M14)</f>
        <v>428842.24000000005</v>
      </c>
    </row>
    <row r="15" spans="1:18" ht="13.5" customHeight="1">
      <c r="A15" s="266" t="s">
        <v>48</v>
      </c>
      <c r="B15" s="25"/>
      <c r="C15" s="26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8"/>
      <c r="O15" s="26"/>
      <c r="P15" s="27"/>
    </row>
    <row r="16" spans="1:18" ht="13.5" customHeight="1">
      <c r="A16" s="267"/>
      <c r="B16" s="29" t="s">
        <v>49</v>
      </c>
      <c r="C16" s="18">
        <v>55675</v>
      </c>
      <c r="D16" s="30">
        <v>91007</v>
      </c>
      <c r="E16" s="30">
        <v>109949</v>
      </c>
      <c r="F16" s="30">
        <v>196282</v>
      </c>
      <c r="G16" s="30"/>
      <c r="H16" s="30">
        <v>197747.12</v>
      </c>
      <c r="I16" s="30">
        <v>129335</v>
      </c>
      <c r="J16" s="30">
        <v>133879</v>
      </c>
      <c r="K16" s="30">
        <v>66679</v>
      </c>
      <c r="L16" s="30">
        <v>226826.34</v>
      </c>
      <c r="M16" s="30">
        <v>0</v>
      </c>
      <c r="N16" s="19">
        <v>76783</v>
      </c>
      <c r="O16" s="18">
        <v>285454</v>
      </c>
      <c r="P16" s="30">
        <v>265816</v>
      </c>
    </row>
    <row r="17" spans="1:20" ht="13.5" customHeight="1">
      <c r="A17" s="267"/>
      <c r="B17" s="29" t="s">
        <v>50</v>
      </c>
      <c r="C17" s="18">
        <v>5487.49</v>
      </c>
      <c r="D17" s="30">
        <v>33265</v>
      </c>
      <c r="E17" s="30">
        <v>10370</v>
      </c>
      <c r="F17" s="30">
        <v>25080</v>
      </c>
      <c r="G17" s="30"/>
      <c r="H17" s="30">
        <v>31654.05</v>
      </c>
      <c r="I17" s="30">
        <v>17480</v>
      </c>
      <c r="J17" s="30">
        <v>39825.1</v>
      </c>
      <c r="K17" s="30">
        <v>13600</v>
      </c>
      <c r="L17" s="30">
        <v>0</v>
      </c>
      <c r="M17" s="30">
        <v>66000</v>
      </c>
      <c r="N17" s="19">
        <v>11475</v>
      </c>
      <c r="O17" s="18">
        <v>34383.21</v>
      </c>
      <c r="P17" s="30">
        <v>44730</v>
      </c>
    </row>
    <row r="18" spans="1:20" ht="13.5" customHeight="1">
      <c r="A18" s="267"/>
      <c r="B18" s="29" t="s">
        <v>51</v>
      </c>
      <c r="C18" s="18">
        <v>0</v>
      </c>
      <c r="D18" s="30">
        <v>93264</v>
      </c>
      <c r="E18" s="30">
        <v>61397.22</v>
      </c>
      <c r="F18" s="30">
        <v>114060</v>
      </c>
      <c r="G18" s="30"/>
      <c r="H18" s="30">
        <v>73246.399999999994</v>
      </c>
      <c r="I18" s="30">
        <v>84892</v>
      </c>
      <c r="J18" s="30">
        <v>0</v>
      </c>
      <c r="K18" s="30">
        <v>46210</v>
      </c>
      <c r="L18" s="30">
        <v>0</v>
      </c>
      <c r="M18" s="30">
        <v>244145</v>
      </c>
      <c r="N18" s="19">
        <v>35636</v>
      </c>
      <c r="O18" s="18">
        <v>159800</v>
      </c>
      <c r="P18" s="30">
        <v>164438</v>
      </c>
    </row>
    <row r="19" spans="1:20" ht="13.5" customHeight="1">
      <c r="A19" s="267"/>
      <c r="B19" s="29" t="s">
        <v>52</v>
      </c>
      <c r="C19" s="18">
        <v>70551.53</v>
      </c>
      <c r="D19" s="30">
        <v>99682</v>
      </c>
      <c r="E19" s="30">
        <v>53061.39</v>
      </c>
      <c r="F19" s="30">
        <v>71178.77</v>
      </c>
      <c r="G19" s="30"/>
      <c r="H19" s="30">
        <v>77630.95</v>
      </c>
      <c r="I19" s="30">
        <v>34954.79</v>
      </c>
      <c r="J19" s="30">
        <v>117248.84</v>
      </c>
      <c r="K19" s="30">
        <v>23838</v>
      </c>
      <c r="L19" s="30">
        <v>191167.04</v>
      </c>
      <c r="M19" s="30">
        <v>230018</v>
      </c>
      <c r="N19" s="19">
        <v>26538</v>
      </c>
      <c r="O19" s="18">
        <v>123558</v>
      </c>
      <c r="P19" s="30">
        <v>191849</v>
      </c>
    </row>
    <row r="20" spans="1:20" ht="13.5" customHeight="1">
      <c r="A20" s="267"/>
      <c r="B20" s="29" t="s">
        <v>53</v>
      </c>
      <c r="C20" s="18">
        <v>2153.42</v>
      </c>
      <c r="D20" s="30">
        <v>17281</v>
      </c>
      <c r="E20" s="30">
        <v>0</v>
      </c>
      <c r="F20" s="30">
        <v>22830</v>
      </c>
      <c r="G20" s="30"/>
      <c r="H20" s="30">
        <v>8932.0300000000007</v>
      </c>
      <c r="I20" s="30">
        <v>14160.43</v>
      </c>
      <c r="J20" s="30">
        <v>51762.55</v>
      </c>
      <c r="K20" s="30">
        <v>25070</v>
      </c>
      <c r="L20" s="30">
        <v>33788</v>
      </c>
      <c r="M20" s="30">
        <v>16079</v>
      </c>
      <c r="N20" s="19">
        <v>9164</v>
      </c>
      <c r="O20" s="18">
        <v>61738.98</v>
      </c>
      <c r="P20" s="30">
        <v>2871</v>
      </c>
    </row>
    <row r="21" spans="1:20" ht="13.5" customHeight="1">
      <c r="A21" s="267"/>
      <c r="B21" s="29" t="s">
        <v>54</v>
      </c>
      <c r="C21" s="18">
        <v>0</v>
      </c>
      <c r="D21" s="30">
        <v>3484</v>
      </c>
      <c r="E21" s="30">
        <v>0</v>
      </c>
      <c r="F21" s="30">
        <v>180</v>
      </c>
      <c r="G21" s="30"/>
      <c r="H21" s="30">
        <v>0</v>
      </c>
      <c r="I21" s="30">
        <v>0</v>
      </c>
      <c r="J21" s="30">
        <v>29852</v>
      </c>
      <c r="K21" s="30">
        <v>3170</v>
      </c>
      <c r="L21" s="30">
        <v>0</v>
      </c>
      <c r="M21" s="30">
        <v>100</v>
      </c>
      <c r="N21" s="19">
        <v>0</v>
      </c>
      <c r="O21" s="18">
        <v>0</v>
      </c>
      <c r="P21" s="30">
        <v>0</v>
      </c>
    </row>
    <row r="22" spans="1:20" ht="13.5" customHeight="1">
      <c r="A22" s="267"/>
      <c r="B22" s="29" t="s">
        <v>55</v>
      </c>
      <c r="C22" s="16">
        <v>0</v>
      </c>
      <c r="D22" s="31">
        <v>0</v>
      </c>
      <c r="E22" s="31">
        <v>0</v>
      </c>
      <c r="F22" s="31">
        <v>0</v>
      </c>
      <c r="G22" s="31"/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17">
        <v>0</v>
      </c>
      <c r="O22" s="16">
        <v>0</v>
      </c>
      <c r="P22" s="31">
        <v>0</v>
      </c>
    </row>
    <row r="23" spans="1:20" ht="13.5" customHeight="1">
      <c r="A23" s="267"/>
      <c r="B23" s="29" t="s">
        <v>56</v>
      </c>
      <c r="C23" s="18">
        <v>0</v>
      </c>
      <c r="D23" s="30">
        <v>0</v>
      </c>
      <c r="E23" s="30">
        <v>0</v>
      </c>
      <c r="F23" s="30">
        <v>0</v>
      </c>
      <c r="G23" s="30"/>
      <c r="H23" s="30">
        <v>0</v>
      </c>
      <c r="I23" s="30">
        <v>0</v>
      </c>
      <c r="J23" s="30">
        <v>7910</v>
      </c>
      <c r="K23" s="30">
        <v>0</v>
      </c>
      <c r="L23" s="30">
        <v>0</v>
      </c>
      <c r="M23" s="30">
        <v>0</v>
      </c>
      <c r="N23" s="19">
        <v>0</v>
      </c>
      <c r="O23" s="18">
        <v>0</v>
      </c>
      <c r="P23" s="30">
        <v>0</v>
      </c>
    </row>
    <row r="24" spans="1:20" ht="13.5" customHeight="1">
      <c r="A24" s="267"/>
      <c r="B24" s="29" t="s">
        <v>57</v>
      </c>
      <c r="C24" s="18">
        <v>0</v>
      </c>
      <c r="D24" s="30">
        <v>50002</v>
      </c>
      <c r="E24" s="30">
        <v>2229.4899999999998</v>
      </c>
      <c r="F24" s="30">
        <v>49844</v>
      </c>
      <c r="G24" s="30"/>
      <c r="H24" s="30">
        <v>33626</v>
      </c>
      <c r="I24" s="30">
        <v>0</v>
      </c>
      <c r="J24" s="30">
        <v>88569.368000000002</v>
      </c>
      <c r="K24" s="30">
        <v>7035</v>
      </c>
      <c r="L24" s="30">
        <v>0</v>
      </c>
      <c r="M24" s="30">
        <v>149274</v>
      </c>
      <c r="N24" s="19">
        <v>15962</v>
      </c>
      <c r="O24" s="18">
        <v>37809</v>
      </c>
      <c r="P24" s="30">
        <v>0</v>
      </c>
    </row>
    <row r="25" spans="1:20" ht="13.5" customHeight="1">
      <c r="A25" s="267"/>
      <c r="B25" s="29" t="s">
        <v>58</v>
      </c>
      <c r="C25" s="18">
        <v>0</v>
      </c>
      <c r="D25" s="30">
        <v>0</v>
      </c>
      <c r="E25" s="30">
        <v>0</v>
      </c>
      <c r="F25" s="30">
        <v>0</v>
      </c>
      <c r="G25" s="30"/>
      <c r="H25" s="30">
        <v>4388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19">
        <v>0</v>
      </c>
      <c r="O25" s="18">
        <v>0</v>
      </c>
      <c r="P25" s="30">
        <v>0</v>
      </c>
    </row>
    <row r="26" spans="1:20" ht="13.5" customHeight="1">
      <c r="A26" s="267"/>
      <c r="B26" s="29" t="s">
        <v>59</v>
      </c>
      <c r="C26" s="18">
        <v>0</v>
      </c>
      <c r="D26" s="30">
        <v>0</v>
      </c>
      <c r="E26" s="30">
        <v>153338.91</v>
      </c>
      <c r="F26" s="30">
        <v>3213</v>
      </c>
      <c r="G26" s="30"/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19">
        <v>712645</v>
      </c>
      <c r="O26" s="18">
        <v>0</v>
      </c>
      <c r="P26" s="30">
        <v>0</v>
      </c>
    </row>
    <row r="27" spans="1:20" ht="13.5" customHeight="1">
      <c r="A27" s="267"/>
      <c r="B27" s="29" t="s">
        <v>60</v>
      </c>
      <c r="C27" s="18">
        <v>23676.400000000001</v>
      </c>
      <c r="D27" s="30">
        <v>184835</v>
      </c>
      <c r="E27" s="30">
        <v>70023.839999999997</v>
      </c>
      <c r="F27" s="30">
        <v>155522.79999999999</v>
      </c>
      <c r="G27" s="30"/>
      <c r="H27" s="30">
        <v>63020.23</v>
      </c>
      <c r="I27" s="30">
        <v>80116</v>
      </c>
      <c r="J27" s="30">
        <v>187153.42</v>
      </c>
      <c r="K27" s="30">
        <v>75624</v>
      </c>
      <c r="L27" s="30">
        <v>199676.16</v>
      </c>
      <c r="M27" s="30">
        <v>106891</v>
      </c>
      <c r="N27" s="19">
        <v>28415</v>
      </c>
      <c r="O27" s="18">
        <v>141115</v>
      </c>
      <c r="P27" s="30">
        <v>52649</v>
      </c>
    </row>
    <row r="28" spans="1:20" ht="13.5" customHeight="1">
      <c r="A28" s="267"/>
      <c r="B28" s="29" t="s">
        <v>148</v>
      </c>
      <c r="C28" s="18">
        <v>0</v>
      </c>
      <c r="D28" s="30">
        <v>57015</v>
      </c>
      <c r="E28" s="30">
        <v>0</v>
      </c>
      <c r="F28" s="30">
        <v>0</v>
      </c>
      <c r="G28" s="30"/>
      <c r="H28" s="30">
        <v>14829.22</v>
      </c>
      <c r="I28" s="30">
        <v>10046.200000000001</v>
      </c>
      <c r="J28" s="30">
        <v>0</v>
      </c>
      <c r="K28" s="30">
        <v>1425</v>
      </c>
      <c r="L28" s="30">
        <v>0</v>
      </c>
      <c r="M28" s="30">
        <v>0</v>
      </c>
      <c r="N28" s="19">
        <v>11650</v>
      </c>
      <c r="O28" s="18">
        <v>0</v>
      </c>
      <c r="P28" s="30">
        <v>144934</v>
      </c>
    </row>
    <row r="29" spans="1:20" ht="13.5" customHeight="1">
      <c r="A29" s="267"/>
      <c r="B29" s="29" t="s">
        <v>62</v>
      </c>
      <c r="C29" s="18">
        <v>906940.99</v>
      </c>
      <c r="D29" s="30">
        <v>147345</v>
      </c>
      <c r="E29" s="30">
        <v>679132.21</v>
      </c>
      <c r="F29" s="30">
        <v>396295.46</v>
      </c>
      <c r="G29" s="30"/>
      <c r="H29" s="30">
        <v>653482.9</v>
      </c>
      <c r="I29" s="30">
        <v>197079.22</v>
      </c>
      <c r="J29" s="30">
        <v>100513.31</v>
      </c>
      <c r="K29" s="30">
        <v>415548</v>
      </c>
      <c r="L29" s="30">
        <v>160530.51</v>
      </c>
      <c r="M29" s="30">
        <v>809754</v>
      </c>
      <c r="N29" s="19">
        <v>231220</v>
      </c>
      <c r="O29" s="18">
        <v>241468.44</v>
      </c>
      <c r="P29" s="30">
        <v>223852</v>
      </c>
      <c r="R29" s="20">
        <f>SUM(C29:M29)</f>
        <v>4466621.6000000006</v>
      </c>
    </row>
    <row r="30" spans="1:20" ht="13.5" customHeight="1">
      <c r="A30" s="267"/>
      <c r="B30" s="29" t="s">
        <v>63</v>
      </c>
      <c r="C30" s="18">
        <v>-9567.57</v>
      </c>
      <c r="D30" s="30">
        <v>652</v>
      </c>
      <c r="E30" s="30">
        <v>59469.96</v>
      </c>
      <c r="F30" s="30">
        <v>0</v>
      </c>
      <c r="G30" s="30"/>
      <c r="H30" s="19">
        <v>-1955</v>
      </c>
      <c r="I30" s="30">
        <v>258.44</v>
      </c>
      <c r="J30" s="30">
        <v>-24705.759999999998</v>
      </c>
      <c r="K30" s="30">
        <v>0</v>
      </c>
      <c r="L30" s="30">
        <v>1299.4000000000001</v>
      </c>
      <c r="M30" s="30">
        <v>0</v>
      </c>
      <c r="N30" s="19">
        <v>5543</v>
      </c>
      <c r="O30" s="18">
        <v>-17008.37</v>
      </c>
      <c r="P30" s="30">
        <v>1128</v>
      </c>
      <c r="R30" s="20">
        <f>SUM(C30:M30)</f>
        <v>25451.470000000005</v>
      </c>
    </row>
    <row r="31" spans="1:20" ht="13.5" customHeight="1">
      <c r="A31" s="267"/>
      <c r="B31" s="29" t="s">
        <v>64</v>
      </c>
      <c r="C31" s="16">
        <f>14111.51+1100.54</f>
        <v>15212.05</v>
      </c>
      <c r="D31" s="31">
        <v>17047</v>
      </c>
      <c r="E31" s="31">
        <v>130653.71</v>
      </c>
      <c r="F31" s="31">
        <v>16008.04</v>
      </c>
      <c r="G31" s="31"/>
      <c r="H31" s="31">
        <v>47398.39</v>
      </c>
      <c r="I31" s="31">
        <v>0</v>
      </c>
      <c r="J31" s="30">
        <v>4646.8100000000004</v>
      </c>
      <c r="K31" s="31">
        <v>293647.37</v>
      </c>
      <c r="L31" s="31">
        <v>5848.82</v>
      </c>
      <c r="M31" s="31">
        <v>14307</v>
      </c>
      <c r="N31" s="17">
        <v>19181</v>
      </c>
      <c r="O31" s="16">
        <v>2425.54</v>
      </c>
      <c r="P31" s="31">
        <v>130309</v>
      </c>
      <c r="R31" s="20">
        <f>SUM(C31:M31)</f>
        <v>544769.18999999994</v>
      </c>
      <c r="S31" s="20">
        <f>+R31+R30+R9</f>
        <v>637467.01999999979</v>
      </c>
      <c r="T31" s="10" t="s">
        <v>65</v>
      </c>
    </row>
    <row r="32" spans="1:20" s="22" customFormat="1" ht="13.5" customHeight="1" thickBot="1">
      <c r="A32" s="263" t="s">
        <v>66</v>
      </c>
      <c r="B32" s="32"/>
      <c r="C32" s="33">
        <f>SUM(C16:C31)</f>
        <v>1070129.31</v>
      </c>
      <c r="D32" s="33">
        <f t="shared" ref="D32:P32" si="2">SUM(D16:D31)</f>
        <v>794879</v>
      </c>
      <c r="E32" s="33">
        <f>SUM(E16:E31)</f>
        <v>1329625.73</v>
      </c>
      <c r="F32" s="33">
        <f t="shared" si="2"/>
        <v>1050494.07</v>
      </c>
      <c r="G32" s="33">
        <f t="shared" si="2"/>
        <v>0</v>
      </c>
      <c r="H32" s="33">
        <f t="shared" si="2"/>
        <v>1204000.2899999998</v>
      </c>
      <c r="I32" s="33">
        <f t="shared" si="2"/>
        <v>568322.07999999996</v>
      </c>
      <c r="J32" s="33">
        <f t="shared" si="2"/>
        <v>736654.63800000004</v>
      </c>
      <c r="K32" s="33">
        <f t="shared" si="2"/>
        <v>971846.37</v>
      </c>
      <c r="L32" s="33">
        <f t="shared" si="2"/>
        <v>819136.27</v>
      </c>
      <c r="M32" s="33">
        <f t="shared" si="2"/>
        <v>1636568</v>
      </c>
      <c r="N32" s="33">
        <f t="shared" si="2"/>
        <v>1184212</v>
      </c>
      <c r="O32" s="33">
        <f t="shared" si="2"/>
        <v>1070743.7999999998</v>
      </c>
      <c r="P32" s="33">
        <f t="shared" si="2"/>
        <v>1222576</v>
      </c>
      <c r="Q32" s="34">
        <f>AVERAGE(C32:P32)</f>
        <v>975656.25414285727</v>
      </c>
      <c r="R32" s="34">
        <f>SUM(C32:M32)+SUM(C12:M14)</f>
        <v>12125507.918000001</v>
      </c>
    </row>
    <row r="33" spans="1:18" ht="13.5" customHeight="1">
      <c r="A33" s="266" t="s">
        <v>68</v>
      </c>
      <c r="B33" s="25"/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8"/>
      <c r="O33" s="26"/>
      <c r="P33" s="27"/>
    </row>
    <row r="34" spans="1:18" ht="13.5" customHeight="1">
      <c r="A34" s="267"/>
      <c r="B34" s="29" t="s">
        <v>69</v>
      </c>
      <c r="C34" s="18">
        <v>315267.09000000003</v>
      </c>
      <c r="D34" s="30">
        <v>353283</v>
      </c>
      <c r="E34" s="30">
        <v>362125.18</v>
      </c>
      <c r="F34" s="30">
        <v>336295.83</v>
      </c>
      <c r="G34" s="30"/>
      <c r="H34" s="30">
        <v>345438.12</v>
      </c>
      <c r="I34" s="30">
        <v>146143.88</v>
      </c>
      <c r="J34" s="30">
        <v>200209.46</v>
      </c>
      <c r="K34" s="30">
        <v>310007</v>
      </c>
      <c r="L34" s="30">
        <v>291796.39</v>
      </c>
      <c r="M34" s="30">
        <v>535952</v>
      </c>
      <c r="N34" s="19">
        <v>306003</v>
      </c>
      <c r="O34" s="18">
        <v>470768.25</v>
      </c>
      <c r="P34" s="30">
        <v>389646</v>
      </c>
      <c r="R34" s="20">
        <f>SUM(C34:M34)</f>
        <v>3196517.95</v>
      </c>
    </row>
    <row r="35" spans="1:18" ht="13.5" customHeight="1">
      <c r="A35" s="267"/>
      <c r="B35" s="29" t="s">
        <v>70</v>
      </c>
      <c r="C35" s="18">
        <v>407429.84</v>
      </c>
      <c r="D35" s="30">
        <v>207887</v>
      </c>
      <c r="E35" s="30">
        <v>437396.86999999994</v>
      </c>
      <c r="F35" s="30">
        <v>369197.39</v>
      </c>
      <c r="G35" s="30"/>
      <c r="H35" s="30">
        <v>381290.78</v>
      </c>
      <c r="I35" s="30">
        <v>239236.09</v>
      </c>
      <c r="J35" s="30">
        <v>260481.46</v>
      </c>
      <c r="K35" s="30">
        <v>404130</v>
      </c>
      <c r="L35" s="30">
        <v>231561</v>
      </c>
      <c r="M35" s="30">
        <v>542672</v>
      </c>
      <c r="N35" s="19">
        <v>209856</v>
      </c>
      <c r="O35" s="18">
        <v>344650.04000000004</v>
      </c>
      <c r="P35" s="30">
        <v>271598</v>
      </c>
      <c r="R35" s="20">
        <f>SUM(C35:M35)</f>
        <v>3481282.43</v>
      </c>
    </row>
    <row r="36" spans="1:18" ht="13.5" customHeight="1">
      <c r="A36" s="267"/>
      <c r="B36" s="29" t="s">
        <v>71</v>
      </c>
      <c r="C36" s="18">
        <v>5327.97</v>
      </c>
      <c r="D36" s="30">
        <v>25177</v>
      </c>
      <c r="E36" s="30">
        <v>16675.62</v>
      </c>
      <c r="F36" s="30">
        <v>19423.41</v>
      </c>
      <c r="G36" s="30"/>
      <c r="H36" s="30">
        <v>30114.13</v>
      </c>
      <c r="I36" s="30">
        <v>33036.370000000003</v>
      </c>
      <c r="J36" s="30">
        <v>54734.23</v>
      </c>
      <c r="K36" s="30">
        <v>21896</v>
      </c>
      <c r="L36" s="30">
        <v>36531.58</v>
      </c>
      <c r="M36" s="30">
        <v>1150</v>
      </c>
      <c r="N36" s="19">
        <v>30685</v>
      </c>
      <c r="O36" s="18">
        <v>15874.35</v>
      </c>
      <c r="P36" s="30">
        <v>78074</v>
      </c>
    </row>
    <row r="37" spans="1:18" ht="13.5" customHeight="1">
      <c r="A37" s="267"/>
      <c r="B37" s="29" t="s">
        <v>72</v>
      </c>
      <c r="C37" s="18">
        <v>6696.16</v>
      </c>
      <c r="D37" s="30">
        <v>39066</v>
      </c>
      <c r="E37" s="30">
        <v>5512.52</v>
      </c>
      <c r="F37" s="30">
        <v>77911.09</v>
      </c>
      <c r="G37" s="30"/>
      <c r="H37" s="30">
        <v>18489.47</v>
      </c>
      <c r="I37" s="30">
        <v>45725.72</v>
      </c>
      <c r="J37" s="30">
        <v>68347.3</v>
      </c>
      <c r="K37" s="30">
        <v>7230</v>
      </c>
      <c r="L37" s="30">
        <v>74726.75</v>
      </c>
      <c r="M37" s="30">
        <v>138660</v>
      </c>
      <c r="N37" s="19">
        <v>20074</v>
      </c>
      <c r="O37" s="18">
        <v>97310.73</v>
      </c>
      <c r="P37" s="30">
        <v>143296</v>
      </c>
    </row>
    <row r="38" spans="1:18" ht="13.5" customHeight="1">
      <c r="A38" s="267"/>
      <c r="B38" s="29" t="s">
        <v>60</v>
      </c>
      <c r="C38" s="18">
        <v>31127.84</v>
      </c>
      <c r="D38" s="30">
        <v>9277</v>
      </c>
      <c r="E38" s="30">
        <v>23615.99</v>
      </c>
      <c r="F38" s="30">
        <v>2028.98</v>
      </c>
      <c r="G38" s="30"/>
      <c r="H38" s="30">
        <v>21995.51</v>
      </c>
      <c r="I38" s="30">
        <v>17783.2</v>
      </c>
      <c r="J38" s="30">
        <v>24188.080000000002</v>
      </c>
      <c r="K38" s="30">
        <v>9000</v>
      </c>
      <c r="L38" s="30">
        <v>45455.93</v>
      </c>
      <c r="M38" s="30">
        <v>18362</v>
      </c>
      <c r="N38" s="19">
        <v>4166</v>
      </c>
      <c r="O38" s="18">
        <v>9950</v>
      </c>
      <c r="P38" s="30">
        <v>21668</v>
      </c>
    </row>
    <row r="39" spans="1:18" ht="13.5" customHeight="1">
      <c r="A39" s="267"/>
      <c r="B39" s="29" t="s">
        <v>73</v>
      </c>
      <c r="C39" s="18">
        <v>246047.27</v>
      </c>
      <c r="D39" s="30">
        <v>29313</v>
      </c>
      <c r="E39" s="30">
        <v>191.45</v>
      </c>
      <c r="F39" s="30">
        <v>0</v>
      </c>
      <c r="G39" s="30"/>
      <c r="H39" s="30">
        <v>121163.14</v>
      </c>
      <c r="I39" s="30">
        <v>0</v>
      </c>
      <c r="J39" s="30">
        <v>0</v>
      </c>
      <c r="K39" s="30">
        <v>9300</v>
      </c>
      <c r="L39" s="30">
        <v>5632.98</v>
      </c>
      <c r="M39" s="30">
        <v>0</v>
      </c>
      <c r="N39" s="19">
        <v>34543</v>
      </c>
      <c r="O39" s="18">
        <v>0</v>
      </c>
      <c r="P39" s="30">
        <v>99987</v>
      </c>
    </row>
    <row r="40" spans="1:18" ht="13.5" customHeight="1">
      <c r="A40" s="267"/>
      <c r="B40" s="29" t="s">
        <v>74</v>
      </c>
      <c r="C40" s="18">
        <v>4075.34</v>
      </c>
      <c r="D40" s="30">
        <v>20508</v>
      </c>
      <c r="E40" s="30">
        <v>12442.52</v>
      </c>
      <c r="F40" s="30">
        <v>12722.49</v>
      </c>
      <c r="G40" s="30"/>
      <c r="H40" s="30">
        <v>10083.25</v>
      </c>
      <c r="I40" s="30">
        <v>5254.51</v>
      </c>
      <c r="J40" s="30">
        <v>31237.279999999999</v>
      </c>
      <c r="K40" s="30">
        <v>17075</v>
      </c>
      <c r="L40" s="30">
        <v>4917.49</v>
      </c>
      <c r="M40" s="30">
        <v>13827</v>
      </c>
      <c r="N40" s="19">
        <v>27730</v>
      </c>
      <c r="O40" s="18">
        <v>29499.82</v>
      </c>
      <c r="P40" s="30">
        <v>30220</v>
      </c>
    </row>
    <row r="41" spans="1:18" ht="13.5" customHeight="1">
      <c r="A41" s="267"/>
      <c r="B41" s="29" t="s">
        <v>53</v>
      </c>
      <c r="C41" s="18">
        <v>9020.81</v>
      </c>
      <c r="D41" s="30">
        <v>24108</v>
      </c>
      <c r="E41" s="30">
        <v>70326.25</v>
      </c>
      <c r="F41" s="30">
        <v>29260.55</v>
      </c>
      <c r="G41" s="30"/>
      <c r="H41" s="30">
        <v>7646.92</v>
      </c>
      <c r="I41" s="30">
        <v>11930.23</v>
      </c>
      <c r="J41" s="30">
        <v>29989.42</v>
      </c>
      <c r="K41" s="30">
        <v>20820</v>
      </c>
      <c r="L41" s="30">
        <v>24102.35</v>
      </c>
      <c r="M41" s="30">
        <v>32192</v>
      </c>
      <c r="N41" s="19">
        <v>13611</v>
      </c>
      <c r="O41" s="18">
        <v>126182.47</v>
      </c>
      <c r="P41" s="30">
        <v>38016</v>
      </c>
    </row>
    <row r="42" spans="1:18" ht="13.5" customHeight="1">
      <c r="A42" s="267"/>
      <c r="B42" s="29" t="s">
        <v>54</v>
      </c>
      <c r="C42" s="18">
        <v>2415</v>
      </c>
      <c r="D42" s="30">
        <v>5931</v>
      </c>
      <c r="E42" s="30">
        <v>100</v>
      </c>
      <c r="F42" s="30">
        <v>-10</v>
      </c>
      <c r="G42" s="30"/>
      <c r="H42" s="30">
        <v>0</v>
      </c>
      <c r="I42" s="30">
        <v>0</v>
      </c>
      <c r="J42" s="30">
        <v>20149.04</v>
      </c>
      <c r="K42" s="30">
        <v>2110</v>
      </c>
      <c r="L42" s="30">
        <v>17114.669999999998</v>
      </c>
      <c r="M42" s="30">
        <v>2492</v>
      </c>
      <c r="N42" s="19">
        <v>0</v>
      </c>
      <c r="O42" s="18">
        <v>0</v>
      </c>
      <c r="P42" s="30">
        <v>0</v>
      </c>
    </row>
    <row r="43" spans="1:18" ht="13.5" customHeight="1">
      <c r="A43" s="267"/>
      <c r="B43" s="29" t="s">
        <v>55</v>
      </c>
      <c r="C43" s="18">
        <v>0</v>
      </c>
      <c r="D43" s="30">
        <v>0</v>
      </c>
      <c r="E43" s="30">
        <v>0</v>
      </c>
      <c r="F43" s="30">
        <v>0</v>
      </c>
      <c r="G43" s="30"/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19">
        <v>0</v>
      </c>
      <c r="O43" s="18">
        <v>0</v>
      </c>
      <c r="P43" s="30">
        <v>0</v>
      </c>
    </row>
    <row r="44" spans="1:18" ht="13.5" customHeight="1">
      <c r="A44" s="267"/>
      <c r="B44" s="29" t="s">
        <v>56</v>
      </c>
      <c r="C44" s="18">
        <v>0</v>
      </c>
      <c r="D44" s="30">
        <v>0</v>
      </c>
      <c r="E44" s="30">
        <v>0</v>
      </c>
      <c r="F44" s="30">
        <v>0</v>
      </c>
      <c r="G44" s="30"/>
      <c r="H44" s="30">
        <v>0</v>
      </c>
      <c r="I44" s="30">
        <v>0</v>
      </c>
      <c r="J44" s="30">
        <v>6604.64</v>
      </c>
      <c r="K44" s="30">
        <v>0</v>
      </c>
      <c r="L44" s="30">
        <v>0</v>
      </c>
      <c r="M44" s="30">
        <v>0</v>
      </c>
      <c r="N44" s="19">
        <v>0</v>
      </c>
      <c r="O44" s="18">
        <v>0</v>
      </c>
      <c r="P44" s="30">
        <v>0</v>
      </c>
    </row>
    <row r="45" spans="1:18" ht="13.5" customHeight="1">
      <c r="A45" s="267"/>
      <c r="B45" s="29" t="s">
        <v>75</v>
      </c>
      <c r="C45" s="18">
        <v>34418.559999999998</v>
      </c>
      <c r="D45" s="30">
        <v>106494</v>
      </c>
      <c r="E45" s="30">
        <v>72543.929999999993</v>
      </c>
      <c r="F45" s="30">
        <v>121363.3</v>
      </c>
      <c r="G45" s="30"/>
      <c r="H45" s="30">
        <v>136975.35</v>
      </c>
      <c r="I45" s="30">
        <v>116863.9</v>
      </c>
      <c r="J45" s="30">
        <v>99451.23</v>
      </c>
      <c r="K45" s="30">
        <v>108825</v>
      </c>
      <c r="L45" s="30">
        <v>143140.66</v>
      </c>
      <c r="M45" s="30">
        <v>112697</v>
      </c>
      <c r="N45" s="19">
        <v>45067</v>
      </c>
      <c r="O45" s="18">
        <v>71666.61</v>
      </c>
      <c r="P45" s="30">
        <v>174799</v>
      </c>
    </row>
    <row r="46" spans="1:18" ht="13.5" customHeight="1">
      <c r="A46" s="267"/>
      <c r="B46" s="29" t="s">
        <v>58</v>
      </c>
      <c r="C46" s="18">
        <v>0</v>
      </c>
      <c r="D46" s="30">
        <v>0</v>
      </c>
      <c r="E46" s="30">
        <v>0</v>
      </c>
      <c r="F46" s="30">
        <v>0</v>
      </c>
      <c r="G46" s="30"/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19">
        <v>0</v>
      </c>
      <c r="O46" s="18">
        <v>0</v>
      </c>
      <c r="P46" s="30">
        <v>0</v>
      </c>
    </row>
    <row r="47" spans="1:18" ht="13.5" customHeight="1">
      <c r="A47" s="267"/>
      <c r="B47" s="29" t="s">
        <v>76</v>
      </c>
      <c r="C47" s="18">
        <v>0</v>
      </c>
      <c r="D47" s="30">
        <v>0</v>
      </c>
      <c r="E47" s="30">
        <v>26024.44</v>
      </c>
      <c r="F47" s="30">
        <v>106242.81000000001</v>
      </c>
      <c r="G47" s="30"/>
      <c r="H47" s="30">
        <v>0</v>
      </c>
      <c r="I47" s="30">
        <v>0</v>
      </c>
      <c r="J47" s="30">
        <v>3540.07</v>
      </c>
      <c r="K47" s="30">
        <v>16500</v>
      </c>
      <c r="L47" s="30">
        <v>0</v>
      </c>
      <c r="M47" s="30">
        <v>0</v>
      </c>
      <c r="N47" s="19">
        <v>603766</v>
      </c>
      <c r="O47" s="18">
        <v>0</v>
      </c>
      <c r="P47" s="30">
        <v>0</v>
      </c>
    </row>
    <row r="48" spans="1:18" ht="13.5" customHeight="1">
      <c r="A48" s="267"/>
      <c r="B48" s="29" t="s">
        <v>77</v>
      </c>
      <c r="C48" s="18">
        <v>233.29</v>
      </c>
      <c r="D48" s="30">
        <v>0</v>
      </c>
      <c r="E48" s="30">
        <v>0</v>
      </c>
      <c r="F48" s="30">
        <v>0</v>
      </c>
      <c r="G48" s="30"/>
      <c r="H48" s="30">
        <v>0</v>
      </c>
      <c r="I48" s="30">
        <v>0</v>
      </c>
      <c r="J48" s="30">
        <v>3885.75</v>
      </c>
      <c r="K48" s="30">
        <v>0</v>
      </c>
      <c r="L48" s="30">
        <v>6038.68</v>
      </c>
      <c r="M48" s="30">
        <v>0</v>
      </c>
      <c r="N48" s="19">
        <v>5772</v>
      </c>
      <c r="O48" s="18">
        <v>0</v>
      </c>
      <c r="P48" s="30">
        <v>0</v>
      </c>
    </row>
    <row r="49" spans="1:18" ht="13.5" customHeight="1">
      <c r="A49" s="267"/>
      <c r="B49" s="29" t="s">
        <v>78</v>
      </c>
      <c r="C49" s="18">
        <v>18801.43</v>
      </c>
      <c r="D49" s="30">
        <v>0</v>
      </c>
      <c r="E49" s="30">
        <v>1019</v>
      </c>
      <c r="F49" s="30">
        <v>-2706.08</v>
      </c>
      <c r="G49" s="30"/>
      <c r="H49" s="30">
        <v>7353.6</v>
      </c>
      <c r="I49" s="30">
        <v>1511.04</v>
      </c>
      <c r="J49" s="30">
        <v>-904.32</v>
      </c>
      <c r="K49" s="30">
        <v>0</v>
      </c>
      <c r="L49" s="30">
        <v>2904.82</v>
      </c>
      <c r="M49" s="30">
        <v>-15238</v>
      </c>
      <c r="N49" s="19">
        <v>49096</v>
      </c>
      <c r="O49" s="18">
        <v>-29545.52</v>
      </c>
      <c r="P49" s="30">
        <v>12246</v>
      </c>
    </row>
    <row r="50" spans="1:18" ht="13.5" customHeight="1">
      <c r="A50" s="267"/>
      <c r="B50" s="29" t="s">
        <v>79</v>
      </c>
      <c r="C50" s="18">
        <v>3.99</v>
      </c>
      <c r="D50" s="30">
        <v>63</v>
      </c>
      <c r="E50" s="30">
        <v>95</v>
      </c>
      <c r="F50" s="30">
        <v>3.7</v>
      </c>
      <c r="G50" s="30"/>
      <c r="H50" s="30">
        <v>0</v>
      </c>
      <c r="I50" s="30">
        <v>770.15</v>
      </c>
      <c r="J50" s="30">
        <v>292.47000000000003</v>
      </c>
      <c r="K50" s="30">
        <v>0</v>
      </c>
      <c r="L50" s="30">
        <v>142.41999999999999</v>
      </c>
      <c r="M50" s="30">
        <v>0</v>
      </c>
      <c r="N50" s="19">
        <v>-105</v>
      </c>
      <c r="O50" s="18">
        <v>44.91</v>
      </c>
      <c r="P50" s="30">
        <v>229</v>
      </c>
    </row>
    <row r="51" spans="1:18" ht="13.5" customHeight="1">
      <c r="A51" s="267"/>
      <c r="B51" s="29" t="s">
        <v>80</v>
      </c>
      <c r="C51" s="18">
        <v>5377.01</v>
      </c>
      <c r="D51" s="30">
        <v>0</v>
      </c>
      <c r="E51" s="30">
        <v>0</v>
      </c>
      <c r="F51" s="30">
        <v>0</v>
      </c>
      <c r="G51" s="30"/>
      <c r="H51" s="30">
        <v>0</v>
      </c>
      <c r="I51" s="30">
        <v>65000</v>
      </c>
      <c r="J51" s="30">
        <v>0</v>
      </c>
      <c r="K51" s="30">
        <v>243540.28</v>
      </c>
      <c r="L51" s="30">
        <v>0</v>
      </c>
      <c r="M51" s="30">
        <v>0</v>
      </c>
      <c r="N51" s="19">
        <v>337500</v>
      </c>
      <c r="O51" s="18">
        <v>0</v>
      </c>
      <c r="P51" s="30">
        <v>0</v>
      </c>
    </row>
    <row r="52" spans="1:18" s="22" customFormat="1" ht="13.5" customHeight="1" thickBot="1">
      <c r="A52" s="263" t="s">
        <v>81</v>
      </c>
      <c r="B52" s="98"/>
      <c r="C52" s="33">
        <f>SUM(C34:C51)</f>
        <v>1086241.6000000001</v>
      </c>
      <c r="D52" s="33">
        <f t="shared" ref="D52:P52" si="3">SUM(D34:D51)</f>
        <v>821107</v>
      </c>
      <c r="E52" s="33">
        <f t="shared" si="3"/>
        <v>1028068.7699999998</v>
      </c>
      <c r="F52" s="33">
        <f>SUM(F34:F51)</f>
        <v>1071733.47</v>
      </c>
      <c r="G52" s="33">
        <f>SUM(G34:G51)</f>
        <v>0</v>
      </c>
      <c r="H52" s="33">
        <f t="shared" si="3"/>
        <v>1080550.2700000003</v>
      </c>
      <c r="I52" s="33">
        <f>SUM(I34:I51)</f>
        <v>683255.09</v>
      </c>
      <c r="J52" s="33">
        <f t="shared" si="3"/>
        <v>802206.11</v>
      </c>
      <c r="K52" s="33">
        <f t="shared" si="3"/>
        <v>1170433.28</v>
      </c>
      <c r="L52" s="33">
        <f t="shared" si="3"/>
        <v>884065.72000000009</v>
      </c>
      <c r="M52" s="33">
        <f>SUM(M34:M51)</f>
        <v>1382766</v>
      </c>
      <c r="N52" s="33">
        <f>SUM(N34:N51)</f>
        <v>1687764</v>
      </c>
      <c r="O52" s="33">
        <f t="shared" si="3"/>
        <v>1136401.6599999999</v>
      </c>
      <c r="P52" s="33">
        <f t="shared" si="3"/>
        <v>1259779</v>
      </c>
      <c r="Q52" s="34">
        <f>AVERAGE(C52:P52)</f>
        <v>1006740.8550000001</v>
      </c>
      <c r="R52" s="34">
        <f>+SUM(C52:M52)+SUM(C54:M54)</f>
        <v>10876864.560000001</v>
      </c>
    </row>
    <row r="53" spans="1:18" ht="13.5" customHeight="1">
      <c r="A53" s="266" t="s">
        <v>82</v>
      </c>
      <c r="B53" s="99"/>
      <c r="C53" s="78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17"/>
      <c r="O53" s="16"/>
      <c r="P53" s="77"/>
    </row>
    <row r="54" spans="1:18" s="22" customFormat="1" ht="13.5" customHeight="1">
      <c r="A54" s="264"/>
      <c r="B54" s="23" t="s">
        <v>83</v>
      </c>
      <c r="C54" s="24">
        <v>112988.78</v>
      </c>
      <c r="D54" s="24">
        <v>75518</v>
      </c>
      <c r="E54" s="24">
        <v>117989.22</v>
      </c>
      <c r="F54" s="24">
        <v>59866.09</v>
      </c>
      <c r="G54" s="24"/>
      <c r="H54" s="24">
        <v>59661.14</v>
      </c>
      <c r="I54" s="24">
        <v>52001.38</v>
      </c>
      <c r="J54" s="24">
        <v>95521.96</v>
      </c>
      <c r="K54" s="24">
        <v>0</v>
      </c>
      <c r="L54" s="24">
        <v>81279.009999999995</v>
      </c>
      <c r="M54" s="24">
        <v>211611.67</v>
      </c>
      <c r="N54" s="24">
        <v>42349</v>
      </c>
      <c r="O54" s="24">
        <v>17517</v>
      </c>
      <c r="P54" s="24">
        <v>102416</v>
      </c>
      <c r="Q54" s="34"/>
      <c r="R54" s="20">
        <f>SUM(C54:M54)</f>
        <v>866437.25</v>
      </c>
    </row>
    <row r="55" spans="1:18" s="22" customFormat="1" ht="13.5" customHeight="1">
      <c r="A55" s="268"/>
      <c r="B55" s="36" t="s">
        <v>201</v>
      </c>
      <c r="C55" s="42">
        <v>-29049.52</v>
      </c>
      <c r="D55" s="42">
        <v>39107</v>
      </c>
      <c r="E55" s="42">
        <v>141922.78</v>
      </c>
      <c r="F55" s="42">
        <v>23999.18</v>
      </c>
      <c r="G55" s="42"/>
      <c r="H55" s="42">
        <v>-83676.5</v>
      </c>
      <c r="I55" s="42">
        <v>-143974.01999999999</v>
      </c>
      <c r="J55" s="42">
        <v>38529.85</v>
      </c>
      <c r="K55" s="42">
        <v>0</v>
      </c>
      <c r="L55" s="42">
        <v>30760.240000000002</v>
      </c>
      <c r="M55" s="42">
        <v>132214.18</v>
      </c>
      <c r="N55" s="42">
        <v>16367</v>
      </c>
      <c r="O55" s="42">
        <v>0</v>
      </c>
      <c r="P55" s="42">
        <v>0</v>
      </c>
      <c r="Q55" s="34"/>
      <c r="R55" s="20">
        <f>SUM(C55:M55)</f>
        <v>149833.19</v>
      </c>
    </row>
    <row r="56" spans="1:18" s="22" customFormat="1" ht="13.5" customHeight="1">
      <c r="A56" s="268"/>
      <c r="B56" s="36" t="s">
        <v>229</v>
      </c>
      <c r="C56" s="42">
        <v>0</v>
      </c>
      <c r="D56" s="42">
        <v>0</v>
      </c>
      <c r="E56" s="42">
        <v>0</v>
      </c>
      <c r="F56" s="42">
        <v>0</v>
      </c>
      <c r="G56" s="42">
        <v>0</v>
      </c>
      <c r="H56" s="42">
        <v>0</v>
      </c>
      <c r="I56" s="42">
        <v>0</v>
      </c>
      <c r="J56" s="42">
        <v>0</v>
      </c>
      <c r="K56" s="42">
        <v>0</v>
      </c>
      <c r="L56" s="42">
        <v>0</v>
      </c>
      <c r="M56" s="42">
        <v>0</v>
      </c>
      <c r="N56" s="42">
        <v>0</v>
      </c>
      <c r="O56" s="42">
        <v>0</v>
      </c>
      <c r="P56" s="42">
        <v>0</v>
      </c>
      <c r="Q56" s="34"/>
      <c r="R56" s="20">
        <f>SUM(C56:P56)</f>
        <v>0</v>
      </c>
    </row>
    <row r="57" spans="1:18" s="22" customFormat="1" ht="13.5" customHeight="1">
      <c r="A57" s="241" t="s">
        <v>230</v>
      </c>
      <c r="B57" s="36"/>
      <c r="C57" s="24">
        <f>+C32-C52</f>
        <v>-16112.290000000037</v>
      </c>
      <c r="D57" s="24">
        <f t="shared" ref="D57:G57" si="4">+D32-D52</f>
        <v>-26228</v>
      </c>
      <c r="E57" s="24">
        <f t="shared" si="4"/>
        <v>301556.9600000002</v>
      </c>
      <c r="F57" s="24">
        <f t="shared" si="4"/>
        <v>-21239.399999999907</v>
      </c>
      <c r="G57" s="24">
        <f t="shared" si="4"/>
        <v>0</v>
      </c>
      <c r="H57" s="24">
        <f t="shared" ref="H57:P57" si="5">+H32-H52</f>
        <v>123450.01999999955</v>
      </c>
      <c r="I57" s="24">
        <f t="shared" si="5"/>
        <v>-114933.01000000001</v>
      </c>
      <c r="J57" s="24">
        <f t="shared" si="5"/>
        <v>-65551.471999999951</v>
      </c>
      <c r="K57" s="24">
        <f t="shared" si="5"/>
        <v>-198586.91000000003</v>
      </c>
      <c r="L57" s="24">
        <f t="shared" si="5"/>
        <v>-64929.45000000007</v>
      </c>
      <c r="M57" s="24">
        <f t="shared" si="5"/>
        <v>253802</v>
      </c>
      <c r="N57" s="24">
        <f t="shared" si="5"/>
        <v>-503552</v>
      </c>
      <c r="O57" s="24">
        <f t="shared" si="5"/>
        <v>-65657.860000000102</v>
      </c>
      <c r="P57" s="24">
        <f t="shared" si="5"/>
        <v>-37203</v>
      </c>
      <c r="Q57" s="34">
        <f t="shared" ref="Q57:Q62" si="6">AVERAGE(C57:P57)</f>
        <v>-31084.600857142883</v>
      </c>
    </row>
    <row r="58" spans="1:18" s="22" customFormat="1" ht="13.5" customHeight="1">
      <c r="A58" s="241" t="s">
        <v>239</v>
      </c>
      <c r="B58" s="36"/>
      <c r="C58" s="24">
        <f>+C32-C52-C54</f>
        <v>-129101.07000000004</v>
      </c>
      <c r="D58" s="24">
        <f t="shared" ref="D58:P58" si="7">+D32-D52-D54</f>
        <v>-101746</v>
      </c>
      <c r="E58" s="24">
        <f t="shared" si="7"/>
        <v>183567.74000000019</v>
      </c>
      <c r="F58" s="24">
        <f t="shared" si="7"/>
        <v>-81105.489999999903</v>
      </c>
      <c r="G58" s="24">
        <f t="shared" si="7"/>
        <v>0</v>
      </c>
      <c r="H58" s="24">
        <f t="shared" si="7"/>
        <v>63788.879999999554</v>
      </c>
      <c r="I58" s="24">
        <f t="shared" si="7"/>
        <v>-166934.39000000001</v>
      </c>
      <c r="J58" s="24">
        <f t="shared" si="7"/>
        <v>-161073.43199999997</v>
      </c>
      <c r="K58" s="24">
        <f t="shared" si="7"/>
        <v>-198586.91000000003</v>
      </c>
      <c r="L58" s="24">
        <f t="shared" si="7"/>
        <v>-146208.46000000008</v>
      </c>
      <c r="M58" s="24">
        <f t="shared" si="7"/>
        <v>42190.329999999987</v>
      </c>
      <c r="N58" s="24">
        <f t="shared" si="7"/>
        <v>-545901</v>
      </c>
      <c r="O58" s="24">
        <f t="shared" si="7"/>
        <v>-83174.860000000102</v>
      </c>
      <c r="P58" s="24">
        <f t="shared" si="7"/>
        <v>-139619</v>
      </c>
      <c r="Q58" s="34">
        <f t="shared" si="6"/>
        <v>-104564.54728571432</v>
      </c>
    </row>
    <row r="59" spans="1:18" s="22" customFormat="1" ht="13.5" customHeight="1">
      <c r="A59" s="241" t="s">
        <v>231</v>
      </c>
      <c r="B59" s="36"/>
      <c r="C59" s="24">
        <f>+C32-C52-SUM(C54:C56)</f>
        <v>-100051.55000000003</v>
      </c>
      <c r="D59" s="24">
        <f t="shared" ref="D59:P59" si="8">+D32-D52-SUM(D54:D56)</f>
        <v>-140853</v>
      </c>
      <c r="E59" s="24">
        <f t="shared" si="8"/>
        <v>41644.960000000196</v>
      </c>
      <c r="F59" s="24">
        <f t="shared" si="8"/>
        <v>-105104.6699999999</v>
      </c>
      <c r="G59" s="24">
        <f t="shared" si="8"/>
        <v>0</v>
      </c>
      <c r="H59" s="24">
        <f t="shared" si="8"/>
        <v>147465.37999999954</v>
      </c>
      <c r="I59" s="24">
        <f t="shared" si="8"/>
        <v>-22960.370000000024</v>
      </c>
      <c r="J59" s="24">
        <f t="shared" si="8"/>
        <v>-199603.28199999995</v>
      </c>
      <c r="K59" s="24">
        <f t="shared" si="8"/>
        <v>-198586.91000000003</v>
      </c>
      <c r="L59" s="24">
        <f t="shared" si="8"/>
        <v>-176968.70000000007</v>
      </c>
      <c r="M59" s="24">
        <f t="shared" si="8"/>
        <v>-90023.849999999977</v>
      </c>
      <c r="N59" s="24">
        <f t="shared" si="8"/>
        <v>-562268</v>
      </c>
      <c r="O59" s="24">
        <f t="shared" si="8"/>
        <v>-83174.860000000102</v>
      </c>
      <c r="P59" s="24">
        <f t="shared" si="8"/>
        <v>-139619</v>
      </c>
      <c r="Q59" s="34">
        <f t="shared" si="6"/>
        <v>-116435.98942857145</v>
      </c>
    </row>
    <row r="60" spans="1:18" s="22" customFormat="1" ht="13.5" customHeight="1">
      <c r="A60" s="241" t="s">
        <v>232</v>
      </c>
      <c r="B60" s="36"/>
      <c r="C60" s="24">
        <f>+C32+SUM(C12:C14)-C52</f>
        <v>237167.20999999996</v>
      </c>
      <c r="D60" s="24">
        <f t="shared" ref="D60:P60" si="9">+D32+SUM(D12:D14)-D52</f>
        <v>247842</v>
      </c>
      <c r="E60" s="24">
        <f t="shared" si="9"/>
        <v>626792.38000000012</v>
      </c>
      <c r="F60" s="24">
        <f t="shared" si="9"/>
        <v>88587.360000000102</v>
      </c>
      <c r="G60" s="24">
        <f t="shared" si="9"/>
        <v>0</v>
      </c>
      <c r="H60" s="24">
        <f t="shared" si="9"/>
        <v>376793.74999999953</v>
      </c>
      <c r="I60" s="24">
        <f t="shared" si="9"/>
        <v>4736.9899999999907</v>
      </c>
      <c r="J60" s="24">
        <f t="shared" si="9"/>
        <v>-19656.471999999951</v>
      </c>
      <c r="K60" s="24">
        <f t="shared" si="9"/>
        <v>70801.559999999823</v>
      </c>
      <c r="L60" s="24">
        <f t="shared" si="9"/>
        <v>99813.539999999921</v>
      </c>
      <c r="M60" s="24">
        <f t="shared" si="9"/>
        <v>382202.29000000004</v>
      </c>
      <c r="N60" s="24">
        <f t="shared" si="9"/>
        <v>-429733</v>
      </c>
      <c r="O60" s="24">
        <f t="shared" si="9"/>
        <v>-23648.860000000102</v>
      </c>
      <c r="P60" s="24">
        <f t="shared" si="9"/>
        <v>6113</v>
      </c>
      <c r="Q60" s="34">
        <f t="shared" si="6"/>
        <v>119129.41057142853</v>
      </c>
    </row>
    <row r="61" spans="1:18" s="22" customFormat="1" ht="13.5" customHeight="1">
      <c r="A61" s="241" t="s">
        <v>240</v>
      </c>
      <c r="B61" s="36"/>
      <c r="C61" s="24">
        <f>+C32+SUM(C12:C14)-C52-C54</f>
        <v>124178.42999999996</v>
      </c>
      <c r="D61" s="24">
        <f t="shared" ref="D61:P61" si="10">+D32+SUM(D12:D14)-D52-D54</f>
        <v>172324</v>
      </c>
      <c r="E61" s="24">
        <f t="shared" si="10"/>
        <v>508803.16000000015</v>
      </c>
      <c r="F61" s="24">
        <f t="shared" si="10"/>
        <v>28721.270000000106</v>
      </c>
      <c r="G61" s="24">
        <f t="shared" si="10"/>
        <v>0</v>
      </c>
      <c r="H61" s="24">
        <f t="shared" si="10"/>
        <v>317132.60999999952</v>
      </c>
      <c r="I61" s="24">
        <f t="shared" si="10"/>
        <v>-47264.390000000007</v>
      </c>
      <c r="J61" s="24">
        <f t="shared" si="10"/>
        <v>-115178.43199999996</v>
      </c>
      <c r="K61" s="24">
        <f t="shared" si="10"/>
        <v>70801.559999999823</v>
      </c>
      <c r="L61" s="24">
        <f t="shared" si="10"/>
        <v>18534.529999999926</v>
      </c>
      <c r="M61" s="24">
        <f t="shared" si="10"/>
        <v>170590.62000000002</v>
      </c>
      <c r="N61" s="24">
        <f t="shared" si="10"/>
        <v>-472082</v>
      </c>
      <c r="O61" s="24">
        <f t="shared" si="10"/>
        <v>-41165.860000000102</v>
      </c>
      <c r="P61" s="24">
        <f t="shared" si="10"/>
        <v>-96303</v>
      </c>
      <c r="Q61" s="34">
        <f t="shared" si="6"/>
        <v>45649.464142857119</v>
      </c>
    </row>
    <row r="62" spans="1:18" s="22" customFormat="1" ht="13.5" customHeight="1">
      <c r="A62" s="241" t="s">
        <v>233</v>
      </c>
      <c r="B62" s="36"/>
      <c r="C62" s="24">
        <f>+C32+SUM(C12:C14)-C52-SUM(C54:C56)</f>
        <v>153227.94999999995</v>
      </c>
      <c r="D62" s="24">
        <f t="shared" ref="D62:P62" si="11">+D32+SUM(D12:D14)-D52-SUM(D54:D56)</f>
        <v>133217</v>
      </c>
      <c r="E62" s="24">
        <f t="shared" si="11"/>
        <v>366880.38000000012</v>
      </c>
      <c r="F62" s="24">
        <f t="shared" si="11"/>
        <v>4722.0900000001129</v>
      </c>
      <c r="G62" s="24">
        <f t="shared" si="11"/>
        <v>0</v>
      </c>
      <c r="H62" s="24">
        <f t="shared" si="11"/>
        <v>400809.10999999952</v>
      </c>
      <c r="I62" s="24">
        <f t="shared" si="11"/>
        <v>96709.629999999976</v>
      </c>
      <c r="J62" s="24">
        <f t="shared" si="11"/>
        <v>-153708.28199999995</v>
      </c>
      <c r="K62" s="24">
        <f t="shared" si="11"/>
        <v>70801.559999999823</v>
      </c>
      <c r="L62" s="24">
        <f t="shared" si="11"/>
        <v>-12225.710000000079</v>
      </c>
      <c r="M62" s="24">
        <f t="shared" si="11"/>
        <v>38376.440000000061</v>
      </c>
      <c r="N62" s="24">
        <f t="shared" si="11"/>
        <v>-488449</v>
      </c>
      <c r="O62" s="24">
        <f t="shared" si="11"/>
        <v>-41165.860000000102</v>
      </c>
      <c r="P62" s="24">
        <f t="shared" si="11"/>
        <v>-96303</v>
      </c>
      <c r="Q62" s="34">
        <f t="shared" si="6"/>
        <v>33778.021999999961</v>
      </c>
      <c r="R62" s="34">
        <f>SUM(C62:M62)</f>
        <v>1098810.1679999996</v>
      </c>
    </row>
    <row r="63" spans="1:18" ht="13.5" customHeight="1">
      <c r="A63" s="262" t="s">
        <v>228</v>
      </c>
      <c r="B63" s="12"/>
      <c r="C63" s="37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9"/>
      <c r="O63" s="37"/>
      <c r="P63" s="38"/>
    </row>
    <row r="64" spans="1:18" s="48" customFormat="1" ht="13.5" customHeight="1">
      <c r="A64" s="269"/>
      <c r="B64" s="210" t="s">
        <v>40</v>
      </c>
      <c r="C64" s="17">
        <v>-423988.6100000001</v>
      </c>
      <c r="D64" s="17">
        <v>681488</v>
      </c>
      <c r="E64" s="17">
        <v>253253.7</v>
      </c>
      <c r="F64" s="17">
        <v>370617.7</v>
      </c>
      <c r="G64" s="17"/>
      <c r="H64" s="17">
        <v>228093.19999999998</v>
      </c>
      <c r="I64" s="17">
        <v>81707.679999999993</v>
      </c>
      <c r="J64" s="17">
        <v>-15119</v>
      </c>
      <c r="K64" s="17">
        <v>122667.44999999995</v>
      </c>
      <c r="L64" s="17">
        <v>89653.270000000135</v>
      </c>
      <c r="M64" s="17">
        <v>2053929.55</v>
      </c>
      <c r="N64" s="17">
        <v>826034</v>
      </c>
      <c r="O64" s="17">
        <v>6702.93</v>
      </c>
      <c r="P64" s="17">
        <v>402840</v>
      </c>
      <c r="Q64" s="96">
        <f>AVERAGE(C64:P64)</f>
        <v>359836.91307692311</v>
      </c>
    </row>
    <row r="65" spans="1:17" s="48" customFormat="1" ht="13.5" customHeight="1">
      <c r="A65" s="269"/>
      <c r="B65" s="210" t="s">
        <v>234</v>
      </c>
      <c r="C65" s="17">
        <v>-391152.71</v>
      </c>
      <c r="D65" s="17">
        <v>-451841</v>
      </c>
      <c r="E65" s="17">
        <v>-536792.61</v>
      </c>
      <c r="F65" s="17">
        <v>-517843.20999999996</v>
      </c>
      <c r="G65" s="17"/>
      <c r="H65" s="17">
        <v>-296423.81</v>
      </c>
      <c r="I65" s="17">
        <v>-66512.66</v>
      </c>
      <c r="J65" s="17">
        <v>-200303</v>
      </c>
      <c r="K65" s="17">
        <v>-145517.13999999998</v>
      </c>
      <c r="L65" s="17">
        <v>-284673.86</v>
      </c>
      <c r="M65" s="17">
        <v>-644243.81999999995</v>
      </c>
      <c r="N65" s="17">
        <v>0</v>
      </c>
      <c r="O65" s="17">
        <v>0</v>
      </c>
      <c r="P65" s="17">
        <v>0</v>
      </c>
      <c r="Q65" s="96"/>
    </row>
    <row r="66" spans="1:17" s="48" customFormat="1" ht="13.5" customHeight="1">
      <c r="A66" s="269"/>
      <c r="B66" s="210" t="s">
        <v>41</v>
      </c>
      <c r="C66" s="17">
        <v>0</v>
      </c>
      <c r="D66" s="17">
        <v>0</v>
      </c>
      <c r="E66" s="17">
        <v>0</v>
      </c>
      <c r="F66" s="17">
        <v>0</v>
      </c>
      <c r="G66" s="17"/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96">
        <f>MAX(C64:P64)</f>
        <v>2053929.55</v>
      </c>
    </row>
    <row r="67" spans="1:17" s="212" customFormat="1" ht="13.5" customHeight="1">
      <c r="A67" s="269"/>
      <c r="B67" s="210" t="s">
        <v>42</v>
      </c>
      <c r="C67" s="17">
        <v>1767927</v>
      </c>
      <c r="D67" s="17">
        <v>704378</v>
      </c>
      <c r="E67" s="17">
        <v>2108613.7600000002</v>
      </c>
      <c r="F67" s="17">
        <v>765910.88999999966</v>
      </c>
      <c r="G67" s="17"/>
      <c r="H67" s="17">
        <v>954573.10999999987</v>
      </c>
      <c r="I67" s="17">
        <v>735730</v>
      </c>
      <c r="J67" s="17">
        <v>1515742</v>
      </c>
      <c r="K67" s="17">
        <v>1271711.0799999998</v>
      </c>
      <c r="L67" s="17">
        <v>897433.30999999994</v>
      </c>
      <c r="M67" s="17">
        <v>1935629.05</v>
      </c>
      <c r="N67" s="17">
        <v>591083</v>
      </c>
      <c r="O67" s="17">
        <v>626120.44999999972</v>
      </c>
      <c r="P67" s="17">
        <v>1455289</v>
      </c>
      <c r="Q67" s="214">
        <f>MIN(C64:P64)</f>
        <v>-423988.6100000001</v>
      </c>
    </row>
    <row r="68" spans="1:17" s="22" customFormat="1" ht="13.5" customHeight="1">
      <c r="A68" s="241"/>
      <c r="B68" s="41" t="s">
        <v>43</v>
      </c>
      <c r="C68" s="57">
        <f>SUM(C64:C67)</f>
        <v>952785.67999999993</v>
      </c>
      <c r="D68" s="57">
        <f>SUM(D64:D67)</f>
        <v>934025</v>
      </c>
      <c r="E68" s="57">
        <f>SUM(E64:E67)</f>
        <v>1825074.8500000003</v>
      </c>
      <c r="F68" s="57">
        <f t="shared" ref="F68:P68" si="12">SUM(F64:F67)</f>
        <v>618685.37999999966</v>
      </c>
      <c r="G68" s="57">
        <f t="shared" si="12"/>
        <v>0</v>
      </c>
      <c r="H68" s="57">
        <f>SUM(H64:H67)</f>
        <v>886242.49999999988</v>
      </c>
      <c r="I68" s="57">
        <f t="shared" si="12"/>
        <v>750925.02</v>
      </c>
      <c r="J68" s="57">
        <f t="shared" si="12"/>
        <v>1300320</v>
      </c>
      <c r="K68" s="57">
        <f t="shared" si="12"/>
        <v>1248861.3899999999</v>
      </c>
      <c r="L68" s="57">
        <f t="shared" si="12"/>
        <v>702412.72000000009</v>
      </c>
      <c r="M68" s="57">
        <f t="shared" si="12"/>
        <v>3345314.7800000003</v>
      </c>
      <c r="N68" s="57">
        <f t="shared" si="12"/>
        <v>1417117</v>
      </c>
      <c r="O68" s="57">
        <f t="shared" si="12"/>
        <v>632823.37999999977</v>
      </c>
      <c r="P68" s="57">
        <f t="shared" si="12"/>
        <v>1858129</v>
      </c>
    </row>
    <row r="69" spans="1:17" s="202" customFormat="1" ht="13.5" customHeight="1">
      <c r="A69" s="270" t="s">
        <v>84</v>
      </c>
      <c r="B69" s="276"/>
      <c r="C69" s="279">
        <f t="shared" ref="C69:P69" si="13">C64/(C52)</f>
        <v>-0.39032624970356511</v>
      </c>
      <c r="D69" s="280">
        <f t="shared" si="13"/>
        <v>0.82996247748466401</v>
      </c>
      <c r="E69" s="280">
        <f t="shared" si="13"/>
        <v>0.24633925996993378</v>
      </c>
      <c r="F69" s="280">
        <f t="shared" si="13"/>
        <v>0.34581144507878442</v>
      </c>
      <c r="G69" s="280" t="e">
        <f t="shared" si="13"/>
        <v>#DIV/0!</v>
      </c>
      <c r="H69" s="280">
        <f t="shared" si="13"/>
        <v>0.21108985517166168</v>
      </c>
      <c r="I69" s="280">
        <f t="shared" si="13"/>
        <v>0.11958590751222943</v>
      </c>
      <c r="J69" s="280">
        <f t="shared" si="13"/>
        <v>-1.8846777419832917E-2</v>
      </c>
      <c r="K69" s="280">
        <f t="shared" si="13"/>
        <v>0.10480516240959925</v>
      </c>
      <c r="L69" s="280">
        <f t="shared" si="13"/>
        <v>0.10141018701641336</v>
      </c>
      <c r="M69" s="280">
        <f t="shared" si="13"/>
        <v>1.4853775331473293</v>
      </c>
      <c r="N69" s="280">
        <f t="shared" si="13"/>
        <v>0.48942506179773948</v>
      </c>
      <c r="O69" s="281">
        <f t="shared" si="13"/>
        <v>5.8983810354518501E-3</v>
      </c>
      <c r="P69" s="280">
        <f t="shared" si="13"/>
        <v>0.31977037242246459</v>
      </c>
      <c r="Q69" s="201" t="e">
        <f>SUM(C69:P69)/14</f>
        <v>#DIV/0!</v>
      </c>
    </row>
    <row r="70" spans="1:17" s="40" customFormat="1">
      <c r="A70" s="183"/>
      <c r="B70" s="59" t="s">
        <v>85</v>
      </c>
      <c r="C70" s="69">
        <f t="shared" ref="C70:O70" si="14">+C10+C12+C13+C14+C32-C52-C54-C68-C55-C56</f>
        <v>-7.0000000316213118E-2</v>
      </c>
      <c r="D70" s="69">
        <f t="shared" si="14"/>
        <v>0</v>
      </c>
      <c r="E70" s="69">
        <f t="shared" si="14"/>
        <v>1.5299999998242129</v>
      </c>
      <c r="F70" s="69">
        <f t="shared" si="14"/>
        <v>5.1659299060702324E-10</v>
      </c>
      <c r="G70" s="69">
        <f t="shared" si="14"/>
        <v>0</v>
      </c>
      <c r="H70" s="69">
        <f t="shared" si="14"/>
        <v>-0.62000000034458935</v>
      </c>
      <c r="I70" s="69">
        <f t="shared" si="14"/>
        <v>-2.3899999999266583</v>
      </c>
      <c r="J70" s="69">
        <f t="shared" si="14"/>
        <v>-1.2819999995626858</v>
      </c>
      <c r="K70" s="69">
        <f t="shared" si="14"/>
        <v>0</v>
      </c>
      <c r="L70" s="69">
        <f t="shared" si="14"/>
        <v>-2.4374458007514477E-10</v>
      </c>
      <c r="M70" s="69">
        <f t="shared" si="14"/>
        <v>-0.47000000003026798</v>
      </c>
      <c r="N70" s="69">
        <f t="shared" si="14"/>
        <v>0</v>
      </c>
      <c r="O70" s="69">
        <f t="shared" si="14"/>
        <v>-3.4924596548080444E-10</v>
      </c>
      <c r="P70" s="185">
        <f>+P10+P12+P13+P14+P32-P52-P54-P68-P55-P56</f>
        <v>2</v>
      </c>
      <c r="Q70" s="103" t="e">
        <f>MAX(C69:P69)</f>
        <v>#DIV/0!</v>
      </c>
    </row>
    <row r="71" spans="1:17" s="40" customFormat="1">
      <c r="A71" s="184"/>
      <c r="B71" s="51"/>
      <c r="C71" s="69">
        <f t="shared" ref="C71:P71" si="15">+C10+C62-C68</f>
        <v>-6.9999999948777258E-2</v>
      </c>
      <c r="D71" s="69">
        <f t="shared" si="15"/>
        <v>0</v>
      </c>
      <c r="E71" s="69">
        <f t="shared" si="15"/>
        <v>1.529999999795109</v>
      </c>
      <c r="F71" s="69">
        <f t="shared" si="15"/>
        <v>0</v>
      </c>
      <c r="G71" s="69">
        <f t="shared" si="15"/>
        <v>0</v>
      </c>
      <c r="H71" s="69">
        <f t="shared" si="15"/>
        <v>-0.62000000034458935</v>
      </c>
      <c r="I71" s="69">
        <f t="shared" si="15"/>
        <v>-2.3900000000139698</v>
      </c>
      <c r="J71" s="69">
        <f t="shared" si="15"/>
        <v>-1.2819999998901039</v>
      </c>
      <c r="K71" s="69">
        <f t="shared" si="15"/>
        <v>0</v>
      </c>
      <c r="L71" s="69">
        <f t="shared" si="15"/>
        <v>0</v>
      </c>
      <c r="M71" s="69">
        <f t="shared" si="15"/>
        <v>-0.47000000020489097</v>
      </c>
      <c r="N71" s="69">
        <f t="shared" si="15"/>
        <v>0</v>
      </c>
      <c r="O71" s="69">
        <f t="shared" si="15"/>
        <v>0</v>
      </c>
      <c r="P71" s="185">
        <f t="shared" si="15"/>
        <v>2</v>
      </c>
      <c r="Q71" s="103"/>
    </row>
    <row r="72" spans="1:17" s="138" customFormat="1" ht="13.5" customHeight="1">
      <c r="A72" s="51"/>
      <c r="B72" s="51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103"/>
    </row>
    <row r="73" spans="1:17" s="40" customFormat="1" ht="13.5" customHeight="1">
      <c r="A73" s="180" t="s">
        <v>195</v>
      </c>
      <c r="B73" s="52"/>
      <c r="C73" s="52"/>
      <c r="D73" s="52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103"/>
    </row>
    <row r="74" spans="1:17" s="40" customFormat="1" ht="13.5" customHeight="1">
      <c r="A74" s="177" t="s">
        <v>196</v>
      </c>
      <c r="B74" s="52"/>
      <c r="C74" s="52"/>
      <c r="D74" s="52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103"/>
    </row>
    <row r="75" spans="1:17" s="40" customFormat="1" ht="13.5" customHeight="1">
      <c r="A75" s="178" t="s">
        <v>86</v>
      </c>
      <c r="B75" s="52"/>
      <c r="C75" s="52"/>
      <c r="D75" s="52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103"/>
    </row>
    <row r="76" spans="1:17" s="40" customFormat="1" ht="13.5" customHeight="1">
      <c r="A76" s="179"/>
      <c r="B76" s="52"/>
      <c r="C76" s="52"/>
      <c r="D76" s="52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103"/>
    </row>
    <row r="77" spans="1:17" s="40" customFormat="1" ht="13.5" customHeight="1">
      <c r="A77" s="177" t="s">
        <v>197</v>
      </c>
      <c r="B77" s="52"/>
      <c r="C77" s="52"/>
      <c r="D77" s="52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103"/>
    </row>
    <row r="78" spans="1:17" s="40" customFormat="1" ht="13.5" customHeight="1">
      <c r="A78" s="177" t="s">
        <v>87</v>
      </c>
      <c r="B78" s="52"/>
      <c r="C78" s="52"/>
      <c r="D78" s="52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103"/>
    </row>
    <row r="79" spans="1:17" ht="12.75" customHeight="1">
      <c r="A79" s="177" t="s">
        <v>88</v>
      </c>
      <c r="B79" s="186"/>
      <c r="C79" s="187"/>
      <c r="D79" s="187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</row>
    <row r="80" spans="1:17" ht="12.75" customHeight="1">
      <c r="A80" s="52"/>
      <c r="B80" s="105"/>
      <c r="C80" s="188"/>
      <c r="D80" s="188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</row>
    <row r="81" spans="1:18">
      <c r="A81" s="283"/>
      <c r="B81" s="284"/>
      <c r="C81" s="260"/>
      <c r="D81" s="260"/>
      <c r="E81" s="260"/>
      <c r="F81" s="260"/>
      <c r="G81" s="260"/>
      <c r="H81" s="260"/>
      <c r="I81" s="260"/>
      <c r="J81" s="260"/>
      <c r="K81" s="260"/>
      <c r="L81" s="260"/>
      <c r="M81" s="260"/>
      <c r="N81" s="278"/>
      <c r="O81" s="260"/>
      <c r="P81" s="260"/>
    </row>
    <row r="82" spans="1:18" ht="71.25" customHeight="1">
      <c r="A82" s="285"/>
      <c r="B82" s="149"/>
      <c r="C82" s="256" t="str">
        <f t="shared" ref="C82:P82" si="16">C2</f>
        <v>9th DAA, Redwood Acres Fair</v>
      </c>
      <c r="D82" s="256" t="str">
        <f t="shared" si="16"/>
        <v>10th DAA, Siskiyou Golden Fair</v>
      </c>
      <c r="E82" s="256" t="str">
        <f t="shared" si="16"/>
        <v>12th DAA, Redwood Empire Fair</v>
      </c>
      <c r="F82" s="256" t="str">
        <f t="shared" si="16"/>
        <v>13th DAA,   Yuba Sutter Fair</v>
      </c>
      <c r="G82" s="295" t="str">
        <f t="shared" si="16"/>
        <v xml:space="preserve">18th DAA, Eastern Sierra Tri-County Fair    </v>
      </c>
      <c r="H82" s="256" t="str">
        <f t="shared" si="16"/>
        <v>20th DAA,    Gold Country Fair</v>
      </c>
      <c r="I82" s="256" t="str">
        <f t="shared" si="16"/>
        <v>24-A DAA,    Kings Fair</v>
      </c>
      <c r="J82" s="256" t="str">
        <f t="shared" si="16"/>
        <v>26th DAA, Amador County Fair</v>
      </c>
      <c r="K82" s="256" t="str">
        <f t="shared" si="16"/>
        <v>30th DAA, Tehama District Fair</v>
      </c>
      <c r="L82" s="256" t="str">
        <f t="shared" si="16"/>
        <v>39th DAA, Calaveras County Fair</v>
      </c>
      <c r="M82" s="256" t="str">
        <f t="shared" si="16"/>
        <v>40th DAA,    Yolo County Fair</v>
      </c>
      <c r="N82" s="256" t="str">
        <f t="shared" si="16"/>
        <v>Cloverdale Citrus Fair</v>
      </c>
      <c r="O82" s="256" t="str">
        <f t="shared" si="16"/>
        <v>Merced County Spring Fair</v>
      </c>
      <c r="P82" s="256" t="str">
        <f t="shared" si="16"/>
        <v>Lodi Grape Festival &amp; Harvest Fair</v>
      </c>
    </row>
    <row r="83" spans="1:18" ht="13.5" customHeight="1">
      <c r="A83" s="262" t="s">
        <v>89</v>
      </c>
      <c r="B83" s="29"/>
      <c r="C83" s="53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5"/>
      <c r="O83" s="53"/>
      <c r="P83" s="54"/>
    </row>
    <row r="84" spans="1:18" ht="13.5" customHeight="1">
      <c r="A84" s="262" t="s">
        <v>90</v>
      </c>
      <c r="B84" s="29"/>
      <c r="C84" s="53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5"/>
      <c r="O84" s="53"/>
      <c r="P84" s="54"/>
    </row>
    <row r="85" spans="1:18" ht="13.5" customHeight="1">
      <c r="A85" s="267"/>
      <c r="B85" s="29" t="s">
        <v>91</v>
      </c>
      <c r="C85" s="18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19"/>
      <c r="O85" s="18"/>
      <c r="P85" s="30"/>
    </row>
    <row r="86" spans="1:18" ht="13.5" customHeight="1">
      <c r="A86" s="267"/>
      <c r="B86" s="29" t="s">
        <v>92</v>
      </c>
      <c r="C86" s="13">
        <v>0</v>
      </c>
      <c r="D86" s="14">
        <v>0</v>
      </c>
      <c r="E86" s="14">
        <v>0</v>
      </c>
      <c r="F86" s="14">
        <v>0</v>
      </c>
      <c r="G86" s="14"/>
      <c r="H86" s="14">
        <v>324045.46999999997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5">
        <v>0</v>
      </c>
      <c r="O86" s="13">
        <v>0</v>
      </c>
      <c r="P86" s="14">
        <v>0</v>
      </c>
      <c r="R86" s="56">
        <f t="shared" ref="R86:R96" si="17">SUM(C86:M86)</f>
        <v>324045.46999999997</v>
      </c>
    </row>
    <row r="87" spans="1:18" ht="13.5" customHeight="1">
      <c r="A87" s="267"/>
      <c r="B87" s="29" t="s">
        <v>93</v>
      </c>
      <c r="C87" s="18">
        <v>-66514.289999999994</v>
      </c>
      <c r="D87" s="30">
        <v>772732</v>
      </c>
      <c r="E87" s="30">
        <v>617075.93999999994</v>
      </c>
      <c r="F87" s="30">
        <v>602515.56999999995</v>
      </c>
      <c r="G87" s="30"/>
      <c r="H87" s="30">
        <v>-273</v>
      </c>
      <c r="I87" s="30">
        <v>282088.21999999997</v>
      </c>
      <c r="J87" s="30">
        <f>106116+36803</f>
        <v>142919</v>
      </c>
      <c r="K87" s="30">
        <v>132721.4</v>
      </c>
      <c r="L87" s="30">
        <v>242883.02000000002</v>
      </c>
      <c r="M87" s="30">
        <v>2214026.85</v>
      </c>
      <c r="N87" s="19">
        <v>1499855</v>
      </c>
      <c r="O87" s="18">
        <v>10346.67</v>
      </c>
      <c r="P87" s="30">
        <f>426737+37060</f>
        <v>463797</v>
      </c>
      <c r="R87" s="56">
        <f t="shared" si="17"/>
        <v>4940174.709999999</v>
      </c>
    </row>
    <row r="88" spans="1:18" ht="13.5" customHeight="1">
      <c r="A88" s="267"/>
      <c r="B88" s="29" t="s">
        <v>94</v>
      </c>
      <c r="C88" s="18">
        <v>78008.210000000006</v>
      </c>
      <c r="D88" s="30">
        <v>46820</v>
      </c>
      <c r="E88" s="30">
        <v>6363.52</v>
      </c>
      <c r="F88" s="30">
        <v>1934.3899999999999</v>
      </c>
      <c r="G88" s="30"/>
      <c r="H88" s="30">
        <v>0</v>
      </c>
      <c r="I88" s="30">
        <v>19167.060000000001</v>
      </c>
      <c r="J88" s="30">
        <v>10402</v>
      </c>
      <c r="K88" s="30">
        <v>12236.96</v>
      </c>
      <c r="L88" s="30">
        <v>41635</v>
      </c>
      <c r="M88" s="30">
        <v>543</v>
      </c>
      <c r="N88" s="19">
        <v>2113</v>
      </c>
      <c r="O88" s="18">
        <v>64286.86</v>
      </c>
      <c r="P88" s="30">
        <v>58</v>
      </c>
      <c r="R88" s="56">
        <f t="shared" si="17"/>
        <v>217110.14</v>
      </c>
    </row>
    <row r="89" spans="1:18" ht="13.5" customHeight="1">
      <c r="A89" s="267"/>
      <c r="B89" s="29" t="s">
        <v>95</v>
      </c>
      <c r="C89" s="18">
        <v>800</v>
      </c>
      <c r="D89" s="30">
        <v>11928</v>
      </c>
      <c r="E89" s="30">
        <v>2854.94</v>
      </c>
      <c r="F89" s="30">
        <v>-115</v>
      </c>
      <c r="G89" s="30"/>
      <c r="H89" s="30">
        <v>0</v>
      </c>
      <c r="I89" s="30">
        <v>7267.59</v>
      </c>
      <c r="J89" s="30">
        <v>7512</v>
      </c>
      <c r="K89" s="30">
        <v>0</v>
      </c>
      <c r="L89" s="30">
        <v>9777.01</v>
      </c>
      <c r="M89" s="30">
        <v>0</v>
      </c>
      <c r="N89" s="19">
        <v>151620</v>
      </c>
      <c r="O89" s="18">
        <v>0</v>
      </c>
      <c r="P89" s="30">
        <v>18849</v>
      </c>
      <c r="R89" s="56">
        <f t="shared" si="17"/>
        <v>40024.54</v>
      </c>
    </row>
    <row r="90" spans="1:18" ht="13.5" customHeight="1">
      <c r="A90" s="267"/>
      <c r="B90" s="29" t="s">
        <v>96</v>
      </c>
      <c r="C90" s="18">
        <v>1371.48</v>
      </c>
      <c r="D90" s="30">
        <v>0</v>
      </c>
      <c r="E90" s="30">
        <v>-100</v>
      </c>
      <c r="F90" s="30">
        <v>0</v>
      </c>
      <c r="G90" s="30"/>
      <c r="H90" s="30">
        <v>0</v>
      </c>
      <c r="I90" s="30">
        <v>0</v>
      </c>
      <c r="J90" s="30">
        <v>4280</v>
      </c>
      <c r="K90" s="30">
        <v>0</v>
      </c>
      <c r="L90" s="30">
        <v>0</v>
      </c>
      <c r="M90" s="30">
        <v>0</v>
      </c>
      <c r="N90" s="19">
        <v>353</v>
      </c>
      <c r="O90" s="18">
        <v>0</v>
      </c>
      <c r="P90" s="30">
        <v>0</v>
      </c>
      <c r="R90" s="56">
        <f t="shared" si="17"/>
        <v>5551.48</v>
      </c>
    </row>
    <row r="91" spans="1:18" ht="13.5" customHeight="1">
      <c r="A91" s="267"/>
      <c r="B91" s="29" t="s">
        <v>149</v>
      </c>
      <c r="C91" s="18">
        <v>11446.58</v>
      </c>
      <c r="D91" s="30">
        <v>17701</v>
      </c>
      <c r="E91" s="30">
        <v>480202.4</v>
      </c>
      <c r="F91" s="30">
        <v>0</v>
      </c>
      <c r="G91" s="30"/>
      <c r="H91" s="30">
        <v>0</v>
      </c>
      <c r="I91" s="30">
        <v>0</v>
      </c>
      <c r="J91" s="296">
        <v>119569</v>
      </c>
      <c r="K91" s="30">
        <v>0</v>
      </c>
      <c r="L91" s="30">
        <v>106473.79</v>
      </c>
      <c r="M91" s="30">
        <v>5000</v>
      </c>
      <c r="N91" s="19">
        <v>9328</v>
      </c>
      <c r="O91" s="18">
        <v>10269.469999999999</v>
      </c>
      <c r="P91" s="30">
        <v>0</v>
      </c>
      <c r="R91" s="10">
        <f t="shared" si="17"/>
        <v>740392.77</v>
      </c>
    </row>
    <row r="92" spans="1:18" ht="13.5" customHeight="1">
      <c r="A92" s="267"/>
      <c r="B92" s="29" t="s">
        <v>98</v>
      </c>
      <c r="C92" s="18">
        <v>64412.19</v>
      </c>
      <c r="D92" s="30">
        <v>0</v>
      </c>
      <c r="E92" s="30">
        <v>52358</v>
      </c>
      <c r="F92" s="30">
        <v>92727.72</v>
      </c>
      <c r="G92" s="30"/>
      <c r="H92" s="30">
        <v>54369.96</v>
      </c>
      <c r="I92" s="30">
        <v>45707</v>
      </c>
      <c r="J92" s="296">
        <v>9764</v>
      </c>
      <c r="K92" s="30">
        <v>5000</v>
      </c>
      <c r="L92" s="30">
        <v>71697.63</v>
      </c>
      <c r="M92" s="30">
        <v>174214</v>
      </c>
      <c r="N92" s="19">
        <v>27233</v>
      </c>
      <c r="O92" s="18">
        <v>448650</v>
      </c>
      <c r="P92" s="30">
        <v>88340</v>
      </c>
      <c r="R92" s="10">
        <f t="shared" si="17"/>
        <v>570250.5</v>
      </c>
    </row>
    <row r="93" spans="1:18" ht="13.5" customHeight="1">
      <c r="A93" s="267"/>
      <c r="B93" s="29" t="s">
        <v>99</v>
      </c>
      <c r="C93" s="18">
        <v>4867998.0999999996</v>
      </c>
      <c r="D93" s="30">
        <v>0</v>
      </c>
      <c r="E93" s="30">
        <v>4581531.54</v>
      </c>
      <c r="F93" s="30">
        <v>2850390.8499999996</v>
      </c>
      <c r="G93" s="30"/>
      <c r="H93" s="30">
        <v>3475602.24</v>
      </c>
      <c r="I93" s="30">
        <v>2172377.13</v>
      </c>
      <c r="J93" s="296">
        <v>3566467</v>
      </c>
      <c r="K93" s="30">
        <v>4734588.22</v>
      </c>
      <c r="L93" s="30">
        <v>3498199.82</v>
      </c>
      <c r="M93" s="30">
        <v>4502400.6500000004</v>
      </c>
      <c r="N93" s="19">
        <v>1428974</v>
      </c>
      <c r="O93" s="18">
        <v>2078033</v>
      </c>
      <c r="P93" s="30">
        <v>4030817</v>
      </c>
      <c r="R93" s="10">
        <f t="shared" si="17"/>
        <v>34249555.549999997</v>
      </c>
    </row>
    <row r="94" spans="1:18" ht="13.5" customHeight="1">
      <c r="A94" s="267"/>
      <c r="B94" s="29" t="s">
        <v>100</v>
      </c>
      <c r="C94" s="18">
        <v>170015</v>
      </c>
      <c r="D94" s="30">
        <v>383407</v>
      </c>
      <c r="E94" s="30">
        <v>293683.78000000003</v>
      </c>
      <c r="F94" s="30">
        <v>107026.71</v>
      </c>
      <c r="G94" s="30"/>
      <c r="H94" s="30">
        <v>275486.5</v>
      </c>
      <c r="I94" s="30">
        <v>211609.82</v>
      </c>
      <c r="J94" s="296">
        <v>133363</v>
      </c>
      <c r="K94" s="30">
        <v>139009</v>
      </c>
      <c r="L94" s="30">
        <v>229308.41</v>
      </c>
      <c r="M94" s="30">
        <v>739527.16</v>
      </c>
      <c r="N94" s="19">
        <v>231431</v>
      </c>
      <c r="O94" s="18">
        <v>206684.03</v>
      </c>
      <c r="P94" s="30">
        <v>336619</v>
      </c>
      <c r="R94" s="10">
        <f t="shared" si="17"/>
        <v>2682436.38</v>
      </c>
    </row>
    <row r="95" spans="1:18" ht="13.5" customHeight="1">
      <c r="A95" s="267"/>
      <c r="B95" s="29" t="s">
        <v>101</v>
      </c>
      <c r="C95" s="18">
        <v>5162.2299999999996</v>
      </c>
      <c r="D95" s="30">
        <v>3512109</v>
      </c>
      <c r="E95" s="30">
        <v>0</v>
      </c>
      <c r="F95" s="30">
        <v>0</v>
      </c>
      <c r="G95" s="30"/>
      <c r="H95" s="30">
        <v>0</v>
      </c>
      <c r="I95" s="30">
        <v>0</v>
      </c>
      <c r="J95" s="296">
        <v>259429</v>
      </c>
      <c r="K95" s="30">
        <v>0</v>
      </c>
      <c r="L95" s="30">
        <v>0</v>
      </c>
      <c r="M95" s="30">
        <v>0</v>
      </c>
      <c r="N95" s="19">
        <v>11940</v>
      </c>
      <c r="O95" s="18">
        <v>0</v>
      </c>
      <c r="P95" s="30">
        <v>0</v>
      </c>
      <c r="R95" s="10">
        <f t="shared" si="17"/>
        <v>3776700.23</v>
      </c>
    </row>
    <row r="96" spans="1:18" ht="13.5" customHeight="1">
      <c r="A96" s="267"/>
      <c r="B96" s="29" t="s">
        <v>182</v>
      </c>
      <c r="C96" s="18">
        <v>0</v>
      </c>
      <c r="D96" s="30">
        <v>0</v>
      </c>
      <c r="E96" s="30">
        <v>0</v>
      </c>
      <c r="F96" s="30">
        <v>0</v>
      </c>
      <c r="G96" s="30"/>
      <c r="H96" s="30">
        <v>0</v>
      </c>
      <c r="I96" s="30">
        <v>0</v>
      </c>
      <c r="J96" s="296">
        <v>0</v>
      </c>
      <c r="K96" s="30">
        <v>0</v>
      </c>
      <c r="L96" s="30">
        <v>0</v>
      </c>
      <c r="M96" s="30">
        <v>0</v>
      </c>
      <c r="N96" s="19">
        <v>0</v>
      </c>
      <c r="O96" s="18">
        <v>0</v>
      </c>
      <c r="P96" s="30">
        <v>0</v>
      </c>
      <c r="R96" s="10">
        <f t="shared" si="17"/>
        <v>0</v>
      </c>
    </row>
    <row r="97" spans="1:18" ht="13.5" customHeight="1">
      <c r="A97" s="267"/>
      <c r="B97" s="29" t="s">
        <v>102</v>
      </c>
      <c r="C97" s="18">
        <f>-3193967.28-144401.86-2064.9</f>
        <v>-3340434.0399999996</v>
      </c>
      <c r="D97" s="30">
        <f>-354881-2853957</f>
        <v>-3208838</v>
      </c>
      <c r="E97" s="30">
        <f>-3081535.12-217627.17</f>
        <v>-3299162.29</v>
      </c>
      <c r="F97" s="30">
        <f>-2123487.68-107026.71</f>
        <v>-2230514.39</v>
      </c>
      <c r="G97" s="30"/>
      <c r="H97" s="30">
        <f>-2580414.42-270471.17</f>
        <v>-2850885.59</v>
      </c>
      <c r="I97" s="301">
        <f>-1482354.07-211609.82</f>
        <v>-1693963.8900000001</v>
      </c>
      <c r="J97" s="30">
        <f>-2369294-108432-95124</f>
        <v>-2572850</v>
      </c>
      <c r="K97" s="30">
        <f>-3362558.53-139009</f>
        <v>-3501567.53</v>
      </c>
      <c r="L97" s="30">
        <f>-2798713.67-209532.67</f>
        <v>-3008246.34</v>
      </c>
      <c r="M97" s="30">
        <f>-2743699.27-741813.49</f>
        <v>-3485512.76</v>
      </c>
      <c r="N97" s="19">
        <f>-903949-200740-9552</f>
        <v>-1114241</v>
      </c>
      <c r="O97" s="18">
        <f>-1910832-206684.05</f>
        <v>-2117516.0499999998</v>
      </c>
      <c r="P97" s="30">
        <f>-2658519-330468</f>
        <v>-2988987</v>
      </c>
      <c r="R97" s="20">
        <f>SUM(C91:M97)</f>
        <v>12827360.599999992</v>
      </c>
    </row>
    <row r="98" spans="1:18" ht="13.5" customHeight="1">
      <c r="A98" s="267"/>
      <c r="B98" s="29" t="s">
        <v>103</v>
      </c>
      <c r="C98" s="18">
        <v>0</v>
      </c>
      <c r="D98" s="30">
        <v>0</v>
      </c>
      <c r="E98" s="30">
        <v>0</v>
      </c>
      <c r="F98" s="30">
        <v>0</v>
      </c>
      <c r="G98" s="30"/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19">
        <v>0</v>
      </c>
      <c r="O98" s="18">
        <v>0</v>
      </c>
      <c r="P98" s="30">
        <v>1</v>
      </c>
    </row>
    <row r="99" spans="1:18" s="22" customFormat="1" ht="13.5" customHeight="1">
      <c r="A99" s="250" t="s">
        <v>104</v>
      </c>
      <c r="B99" s="23"/>
      <c r="C99" s="24">
        <f>SUM(C85:C98)</f>
        <v>1792265.4600000004</v>
      </c>
      <c r="D99" s="24">
        <f t="shared" ref="D99:P99" si="18">SUM(D85:D98)</f>
        <v>1535859</v>
      </c>
      <c r="E99" s="24">
        <f t="shared" si="18"/>
        <v>2734807.83</v>
      </c>
      <c r="F99" s="24">
        <f t="shared" si="18"/>
        <v>1423965.8499999992</v>
      </c>
      <c r="G99" s="24">
        <f t="shared" si="18"/>
        <v>0</v>
      </c>
      <c r="H99" s="24">
        <f t="shared" si="18"/>
        <v>1278345.5800000005</v>
      </c>
      <c r="I99" s="24">
        <f t="shared" si="18"/>
        <v>1044252.9299999997</v>
      </c>
      <c r="J99" s="24">
        <f t="shared" si="18"/>
        <v>1680855</v>
      </c>
      <c r="K99" s="24">
        <f t="shared" si="18"/>
        <v>1521988.0500000003</v>
      </c>
      <c r="L99" s="24">
        <f t="shared" si="18"/>
        <v>1191728.3399999999</v>
      </c>
      <c r="M99" s="24">
        <f t="shared" si="18"/>
        <v>4150198.9000000004</v>
      </c>
      <c r="N99" s="24">
        <f t="shared" si="18"/>
        <v>2248606</v>
      </c>
      <c r="O99" s="24">
        <f t="shared" si="18"/>
        <v>700753.98</v>
      </c>
      <c r="P99" s="24">
        <f t="shared" si="18"/>
        <v>1949494</v>
      </c>
      <c r="R99" s="197">
        <f>SUM(C99:M99)</f>
        <v>18354266.940000001</v>
      </c>
    </row>
    <row r="100" spans="1:18" s="22" customFormat="1" ht="13.5" customHeight="1">
      <c r="A100" s="250" t="s">
        <v>205</v>
      </c>
      <c r="B100" s="23"/>
      <c r="C100" s="24">
        <v>158901.32</v>
      </c>
      <c r="D100" s="24">
        <v>190346</v>
      </c>
      <c r="E100" s="24">
        <v>242843.77</v>
      </c>
      <c r="F100" s="24">
        <v>201506.91</v>
      </c>
      <c r="G100" s="24"/>
      <c r="H100" s="24">
        <v>138645.68</v>
      </c>
      <c r="I100" s="24">
        <v>34501.1</v>
      </c>
      <c r="J100" s="24">
        <v>86051</v>
      </c>
      <c r="K100" s="24">
        <v>19918.04</v>
      </c>
      <c r="L100" s="24">
        <v>132201.89000000001</v>
      </c>
      <c r="M100" s="24">
        <v>277628.99</v>
      </c>
      <c r="N100" s="24">
        <v>0</v>
      </c>
      <c r="O100" s="24">
        <v>0</v>
      </c>
      <c r="P100" s="24">
        <v>0</v>
      </c>
      <c r="R100" s="197">
        <f>SUM(C100:M100)</f>
        <v>1482544.7</v>
      </c>
    </row>
    <row r="101" spans="1:18" s="45" customFormat="1" ht="13.5" customHeight="1">
      <c r="A101" s="272" t="s">
        <v>202</v>
      </c>
      <c r="B101" s="195"/>
      <c r="C101" s="196">
        <f>+C99+C100</f>
        <v>1951166.7800000005</v>
      </c>
      <c r="D101" s="196">
        <f t="shared" ref="D101:O101" si="19">+D99+D100</f>
        <v>1726205</v>
      </c>
      <c r="E101" s="196">
        <f t="shared" si="19"/>
        <v>2977651.6</v>
      </c>
      <c r="F101" s="196">
        <f t="shared" si="19"/>
        <v>1625472.7599999991</v>
      </c>
      <c r="G101" s="196">
        <f t="shared" si="19"/>
        <v>0</v>
      </c>
      <c r="H101" s="196">
        <f t="shared" si="19"/>
        <v>1416991.2600000005</v>
      </c>
      <c r="I101" s="196">
        <f t="shared" si="19"/>
        <v>1078754.0299999998</v>
      </c>
      <c r="J101" s="196">
        <f t="shared" si="19"/>
        <v>1766906</v>
      </c>
      <c r="K101" s="196">
        <f t="shared" si="19"/>
        <v>1541906.0900000003</v>
      </c>
      <c r="L101" s="196">
        <f t="shared" si="19"/>
        <v>1323930.23</v>
      </c>
      <c r="M101" s="196">
        <f t="shared" si="19"/>
        <v>4427827.8900000006</v>
      </c>
      <c r="N101" s="196">
        <f t="shared" si="19"/>
        <v>2248606</v>
      </c>
      <c r="O101" s="196">
        <f t="shared" si="19"/>
        <v>700753.98</v>
      </c>
      <c r="P101" s="196">
        <f>+P99+P100</f>
        <v>1949494</v>
      </c>
      <c r="R101" s="197">
        <f>SUM(C101:M101)</f>
        <v>19836811.640000001</v>
      </c>
    </row>
    <row r="102" spans="1:18" ht="13.5" customHeight="1">
      <c r="A102" s="262" t="s">
        <v>203</v>
      </c>
      <c r="B102" s="29"/>
      <c r="C102" s="53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5"/>
      <c r="O102" s="53"/>
      <c r="P102" s="54"/>
    </row>
    <row r="103" spans="1:18" ht="13.5" customHeight="1">
      <c r="A103" s="267"/>
      <c r="B103" s="29" t="s">
        <v>105</v>
      </c>
      <c r="C103" s="18">
        <v>0</v>
      </c>
      <c r="D103" s="30">
        <v>0</v>
      </c>
      <c r="E103" s="30">
        <v>0</v>
      </c>
      <c r="F103" s="30">
        <v>300</v>
      </c>
      <c r="G103" s="30"/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6470.56</v>
      </c>
      <c r="N103" s="19">
        <v>0</v>
      </c>
      <c r="O103" s="18">
        <v>0</v>
      </c>
      <c r="P103" s="30">
        <v>0</v>
      </c>
      <c r="R103" s="56">
        <f t="shared" ref="R103:R124" si="20">SUM(C103:M103)</f>
        <v>6770.56</v>
      </c>
    </row>
    <row r="104" spans="1:18" ht="13.5" customHeight="1">
      <c r="A104" s="267"/>
      <c r="B104" s="29" t="s">
        <v>106</v>
      </c>
      <c r="C104" s="18">
        <f>197568.26+100</f>
        <v>197668.26</v>
      </c>
      <c r="D104" s="30">
        <v>2587</v>
      </c>
      <c r="E104" s="30">
        <v>25313.53</v>
      </c>
      <c r="F104" s="30">
        <v>10435.219999999999</v>
      </c>
      <c r="G104" s="30"/>
      <c r="H104" s="106">
        <v>165.52</v>
      </c>
      <c r="I104" s="30">
        <v>78987.899999999994</v>
      </c>
      <c r="J104" s="30">
        <f>74166+16025</f>
        <v>90191</v>
      </c>
      <c r="K104" s="30">
        <v>0</v>
      </c>
      <c r="L104" s="30">
        <v>27881.39</v>
      </c>
      <c r="M104" s="30">
        <v>7370.99</v>
      </c>
      <c r="N104" s="19">
        <v>5450</v>
      </c>
      <c r="O104" s="18">
        <v>0</v>
      </c>
      <c r="P104" s="30">
        <v>0</v>
      </c>
      <c r="R104" s="56">
        <f t="shared" si="20"/>
        <v>440600.81</v>
      </c>
    </row>
    <row r="105" spans="1:18" ht="13.5" customHeight="1">
      <c r="A105" s="267"/>
      <c r="B105" s="29" t="s">
        <v>107</v>
      </c>
      <c r="C105" s="18">
        <v>4740.24</v>
      </c>
      <c r="D105" s="30">
        <v>2692</v>
      </c>
      <c r="E105" s="30">
        <v>10021.370000000001</v>
      </c>
      <c r="F105" s="30">
        <v>23893.279999999999</v>
      </c>
      <c r="G105" s="30"/>
      <c r="H105" s="30">
        <v>0</v>
      </c>
      <c r="I105" s="30">
        <v>0</v>
      </c>
      <c r="J105" s="30">
        <v>5140</v>
      </c>
      <c r="K105" s="30">
        <v>7804.04</v>
      </c>
      <c r="L105" s="30">
        <v>55.91</v>
      </c>
      <c r="M105" s="30">
        <v>31854.73</v>
      </c>
      <c r="N105" s="19">
        <v>3889</v>
      </c>
      <c r="O105" s="18">
        <v>0</v>
      </c>
      <c r="P105" s="30">
        <v>0</v>
      </c>
      <c r="R105" s="56">
        <f t="shared" si="20"/>
        <v>86201.57</v>
      </c>
    </row>
    <row r="106" spans="1:18" ht="13.5" customHeight="1">
      <c r="A106" s="267"/>
      <c r="B106" s="29" t="s">
        <v>108</v>
      </c>
      <c r="C106" s="18">
        <v>2755</v>
      </c>
      <c r="D106" s="30">
        <v>20893</v>
      </c>
      <c r="E106" s="30">
        <v>182676.64</v>
      </c>
      <c r="F106" s="30">
        <v>36128.94</v>
      </c>
      <c r="G106" s="30"/>
      <c r="H106" s="30">
        <v>21690</v>
      </c>
      <c r="I106" s="30">
        <v>4395</v>
      </c>
      <c r="J106" s="30">
        <v>46209</v>
      </c>
      <c r="K106" s="30">
        <v>0</v>
      </c>
      <c r="L106" s="30">
        <v>3286.93</v>
      </c>
      <c r="M106" s="30">
        <v>9972.2199999999993</v>
      </c>
      <c r="N106" s="19">
        <v>593336</v>
      </c>
      <c r="O106" s="18">
        <v>0</v>
      </c>
      <c r="P106" s="30">
        <v>49884</v>
      </c>
      <c r="R106" s="56">
        <f t="shared" si="20"/>
        <v>328006.73</v>
      </c>
    </row>
    <row r="107" spans="1:18" ht="13.5" customHeight="1">
      <c r="A107" s="267"/>
      <c r="B107" s="29" t="s">
        <v>109</v>
      </c>
      <c r="C107" s="18">
        <v>0</v>
      </c>
      <c r="D107" s="30">
        <v>41569</v>
      </c>
      <c r="E107" s="30">
        <v>0</v>
      </c>
      <c r="F107" s="30">
        <v>6011.41</v>
      </c>
      <c r="G107" s="30"/>
      <c r="H107" s="30">
        <v>0</v>
      </c>
      <c r="I107" s="30">
        <v>0</v>
      </c>
      <c r="J107" s="30">
        <v>0</v>
      </c>
      <c r="K107" s="30">
        <v>0</v>
      </c>
      <c r="L107" s="30">
        <v>19400</v>
      </c>
      <c r="M107" s="30"/>
      <c r="N107" s="19">
        <v>1759</v>
      </c>
      <c r="O107" s="18">
        <v>0</v>
      </c>
      <c r="P107" s="30">
        <v>29981</v>
      </c>
      <c r="R107" s="56">
        <f t="shared" si="20"/>
        <v>66980.41</v>
      </c>
    </row>
    <row r="108" spans="1:18" ht="13.5" customHeight="1">
      <c r="A108" s="267"/>
      <c r="B108" s="29" t="s">
        <v>110</v>
      </c>
      <c r="C108" s="18">
        <v>7570</v>
      </c>
      <c r="D108" s="30">
        <v>100</v>
      </c>
      <c r="E108" s="30">
        <v>21941.4</v>
      </c>
      <c r="F108" s="30">
        <v>14913</v>
      </c>
      <c r="G108" s="30"/>
      <c r="H108" s="30">
        <v>23648.75</v>
      </c>
      <c r="I108" s="30">
        <v>4900</v>
      </c>
      <c r="J108" s="30">
        <v>2250</v>
      </c>
      <c r="K108" s="30">
        <v>0</v>
      </c>
      <c r="L108" s="30">
        <v>0</v>
      </c>
      <c r="M108" s="30">
        <v>31400</v>
      </c>
      <c r="N108" s="19">
        <v>3745</v>
      </c>
      <c r="O108" s="18">
        <v>0</v>
      </c>
      <c r="P108" s="30">
        <v>0</v>
      </c>
      <c r="R108" s="56">
        <f t="shared" si="20"/>
        <v>106723.15</v>
      </c>
    </row>
    <row r="109" spans="1:18" ht="13.5" customHeight="1">
      <c r="A109" s="267"/>
      <c r="B109" s="29" t="s">
        <v>111</v>
      </c>
      <c r="C109" s="18">
        <v>60083.14</v>
      </c>
      <c r="D109" s="30">
        <v>54948</v>
      </c>
      <c r="E109" s="30">
        <v>36853.61</v>
      </c>
      <c r="F109" s="30">
        <v>42056.79</v>
      </c>
      <c r="G109" s="30"/>
      <c r="H109" s="30">
        <v>-377.04</v>
      </c>
      <c r="I109" s="30">
        <v>0</v>
      </c>
      <c r="J109" s="30">
        <v>25139</v>
      </c>
      <c r="K109" s="30">
        <v>0</v>
      </c>
      <c r="L109" s="30">
        <v>1800</v>
      </c>
      <c r="M109" s="30">
        <v>72071.83</v>
      </c>
      <c r="N109" s="19">
        <v>4827</v>
      </c>
      <c r="O109" s="18">
        <v>0</v>
      </c>
      <c r="P109" s="30">
        <v>0</v>
      </c>
      <c r="R109" s="56">
        <f t="shared" si="20"/>
        <v>292575.33</v>
      </c>
    </row>
    <row r="110" spans="1:18" ht="13.5" customHeight="1">
      <c r="A110" s="267"/>
      <c r="B110" s="29" t="s">
        <v>112</v>
      </c>
      <c r="C110" s="18">
        <v>124894.87</v>
      </c>
      <c r="D110" s="30">
        <v>27203</v>
      </c>
      <c r="E110" s="30">
        <v>0</v>
      </c>
      <c r="F110" s="30">
        <v>53720</v>
      </c>
      <c r="G110" s="30"/>
      <c r="H110" s="30">
        <v>0</v>
      </c>
      <c r="I110" s="30">
        <v>0</v>
      </c>
      <c r="J110" s="30">
        <v>0</v>
      </c>
      <c r="K110" s="30">
        <v>105318.61</v>
      </c>
      <c r="L110" s="30">
        <v>27225.4</v>
      </c>
      <c r="M110" s="30">
        <v>0</v>
      </c>
      <c r="N110" s="19">
        <v>3582</v>
      </c>
      <c r="O110" s="18">
        <v>123000</v>
      </c>
      <c r="P110" s="30">
        <v>11500</v>
      </c>
      <c r="R110" s="56">
        <f t="shared" si="20"/>
        <v>338361.88</v>
      </c>
    </row>
    <row r="111" spans="1:18" ht="13.5" customHeight="1">
      <c r="A111" s="267"/>
      <c r="B111" s="29" t="s">
        <v>208</v>
      </c>
      <c r="C111" s="18">
        <v>544968.06000000006</v>
      </c>
      <c r="D111" s="30">
        <v>636249</v>
      </c>
      <c r="E111" s="30">
        <v>772427.62</v>
      </c>
      <c r="F111" s="30">
        <v>712698.78</v>
      </c>
      <c r="G111" s="30"/>
      <c r="H111" s="30">
        <v>431046.7</v>
      </c>
      <c r="I111" s="30">
        <v>100079.75</v>
      </c>
      <c r="J111" s="30">
        <v>283707</v>
      </c>
      <c r="K111" s="30">
        <v>165056.18</v>
      </c>
      <c r="L111" s="30">
        <v>413021.19</v>
      </c>
      <c r="M111" s="30">
        <v>913348.95</v>
      </c>
      <c r="N111" s="19">
        <v>214901</v>
      </c>
      <c r="O111" s="18">
        <v>0</v>
      </c>
      <c r="P111" s="30">
        <v>0</v>
      </c>
      <c r="R111" s="56">
        <f t="shared" si="20"/>
        <v>4972603.2300000004</v>
      </c>
    </row>
    <row r="112" spans="1:18" ht="13.5" customHeight="1">
      <c r="A112" s="267"/>
      <c r="B112" s="29" t="s">
        <v>238</v>
      </c>
      <c r="C112" s="18">
        <v>0</v>
      </c>
      <c r="D112" s="30">
        <v>0</v>
      </c>
      <c r="E112" s="30">
        <v>0</v>
      </c>
      <c r="F112" s="30">
        <v>0</v>
      </c>
      <c r="G112" s="30">
        <v>0</v>
      </c>
      <c r="H112" s="30">
        <v>0</v>
      </c>
      <c r="I112" s="30">
        <v>0</v>
      </c>
      <c r="J112" s="30">
        <v>0</v>
      </c>
      <c r="K112" s="30">
        <v>0</v>
      </c>
      <c r="L112" s="30">
        <v>0</v>
      </c>
      <c r="M112" s="30">
        <v>0</v>
      </c>
      <c r="N112" s="19">
        <v>0</v>
      </c>
      <c r="O112" s="18">
        <v>0</v>
      </c>
      <c r="P112" s="30">
        <v>0</v>
      </c>
      <c r="R112" s="56">
        <f t="shared" si="20"/>
        <v>0</v>
      </c>
    </row>
    <row r="113" spans="1:18" s="22" customFormat="1" ht="13.5" customHeight="1">
      <c r="A113" s="250" t="s">
        <v>207</v>
      </c>
      <c r="B113" s="23"/>
      <c r="C113" s="24">
        <f>SUM(C103:C112)</f>
        <v>942679.57000000007</v>
      </c>
      <c r="D113" s="24">
        <f t="shared" ref="D113:P113" si="21">SUM(D103:D112)</f>
        <v>786241</v>
      </c>
      <c r="E113" s="24">
        <f t="shared" si="21"/>
        <v>1049234.17</v>
      </c>
      <c r="F113" s="24">
        <f t="shared" si="21"/>
        <v>900157.42</v>
      </c>
      <c r="G113" s="24">
        <f t="shared" si="21"/>
        <v>0</v>
      </c>
      <c r="H113" s="24">
        <f t="shared" si="21"/>
        <v>476173.93</v>
      </c>
      <c r="I113" s="24">
        <f t="shared" si="21"/>
        <v>188362.65</v>
      </c>
      <c r="J113" s="24">
        <f t="shared" si="21"/>
        <v>452636</v>
      </c>
      <c r="K113" s="24">
        <f t="shared" si="21"/>
        <v>278178.82999999996</v>
      </c>
      <c r="L113" s="24">
        <f t="shared" si="21"/>
        <v>492670.82</v>
      </c>
      <c r="M113" s="24">
        <f t="shared" si="21"/>
        <v>1072489.28</v>
      </c>
      <c r="N113" s="24">
        <f t="shared" si="21"/>
        <v>831489</v>
      </c>
      <c r="O113" s="24">
        <f t="shared" si="21"/>
        <v>123000</v>
      </c>
      <c r="P113" s="24">
        <f t="shared" si="21"/>
        <v>91365</v>
      </c>
      <c r="R113" s="56">
        <f t="shared" si="20"/>
        <v>6638823.6700000009</v>
      </c>
    </row>
    <row r="114" spans="1:18" s="22" customFormat="1" ht="13.5" customHeight="1">
      <c r="A114" s="250" t="s">
        <v>206</v>
      </c>
      <c r="B114" s="23"/>
      <c r="C114" s="24">
        <v>5085.97</v>
      </c>
      <c r="D114" s="24">
        <v>5938</v>
      </c>
      <c r="E114" s="24">
        <v>7208.76</v>
      </c>
      <c r="F114" s="24">
        <v>6651.34</v>
      </c>
      <c r="G114" s="24"/>
      <c r="H114" s="24">
        <v>4022.79</v>
      </c>
      <c r="I114" s="24">
        <v>934.01</v>
      </c>
      <c r="J114" s="24">
        <v>2648</v>
      </c>
      <c r="K114" s="24">
        <v>379</v>
      </c>
      <c r="L114" s="24">
        <v>3854.56</v>
      </c>
      <c r="M114" s="24">
        <v>8523.86</v>
      </c>
      <c r="N114" s="24">
        <v>0</v>
      </c>
      <c r="O114" s="24">
        <v>0</v>
      </c>
      <c r="P114" s="24">
        <v>0</v>
      </c>
      <c r="R114" s="56">
        <f t="shared" si="20"/>
        <v>45246.29</v>
      </c>
    </row>
    <row r="115" spans="1:18" s="45" customFormat="1" ht="13.5" customHeight="1">
      <c r="A115" s="272" t="s">
        <v>204</v>
      </c>
      <c r="B115" s="195"/>
      <c r="C115" s="196">
        <f>+C113+C114</f>
        <v>947765.54</v>
      </c>
      <c r="D115" s="196">
        <f t="shared" ref="D115:O115" si="22">+D113+D114</f>
        <v>792179</v>
      </c>
      <c r="E115" s="196">
        <f t="shared" si="22"/>
        <v>1056442.93</v>
      </c>
      <c r="F115" s="196">
        <f t="shared" si="22"/>
        <v>906808.76</v>
      </c>
      <c r="G115" s="196">
        <f t="shared" si="22"/>
        <v>0</v>
      </c>
      <c r="H115" s="196">
        <f t="shared" si="22"/>
        <v>480196.72</v>
      </c>
      <c r="I115" s="196">
        <f t="shared" si="22"/>
        <v>189296.66</v>
      </c>
      <c r="J115" s="196">
        <f t="shared" si="22"/>
        <v>455284</v>
      </c>
      <c r="K115" s="196">
        <f t="shared" si="22"/>
        <v>278557.82999999996</v>
      </c>
      <c r="L115" s="196">
        <f t="shared" si="22"/>
        <v>496525.38</v>
      </c>
      <c r="M115" s="196">
        <f t="shared" si="22"/>
        <v>1081013.1400000001</v>
      </c>
      <c r="N115" s="196">
        <f t="shared" si="22"/>
        <v>831489</v>
      </c>
      <c r="O115" s="196">
        <f t="shared" si="22"/>
        <v>123000</v>
      </c>
      <c r="P115" s="282">
        <f>+P113+P114</f>
        <v>91365</v>
      </c>
      <c r="R115" s="197">
        <f t="shared" si="20"/>
        <v>6684069.959999999</v>
      </c>
    </row>
    <row r="116" spans="1:18" ht="13.5" customHeight="1">
      <c r="A116" s="262" t="s">
        <v>113</v>
      </c>
      <c r="B116" s="29"/>
      <c r="C116" s="53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5"/>
      <c r="O116" s="53"/>
      <c r="P116" s="54"/>
      <c r="R116" s="56">
        <f t="shared" si="20"/>
        <v>0</v>
      </c>
    </row>
    <row r="117" spans="1:18" ht="13.5" customHeight="1">
      <c r="A117" s="267"/>
      <c r="B117" s="29" t="s">
        <v>114</v>
      </c>
      <c r="C117" s="18">
        <v>50615.630000000005</v>
      </c>
      <c r="D117" s="30">
        <v>0</v>
      </c>
      <c r="E117" s="30">
        <v>96133.58</v>
      </c>
      <c r="F117" s="30">
        <v>99978.62</v>
      </c>
      <c r="G117" s="30"/>
      <c r="H117" s="30">
        <v>50552.04</v>
      </c>
      <c r="I117" s="30">
        <v>138534.35</v>
      </c>
      <c r="J117" s="30">
        <v>11305</v>
      </c>
      <c r="K117" s="30">
        <v>14486.87</v>
      </c>
      <c r="L117" s="30">
        <v>124992.86</v>
      </c>
      <c r="M117" s="30">
        <v>1500</v>
      </c>
      <c r="N117" s="19">
        <v>0</v>
      </c>
      <c r="O117" s="18">
        <v>-55069.4</v>
      </c>
      <c r="P117" s="30">
        <v>0</v>
      </c>
      <c r="R117" s="56">
        <f t="shared" si="20"/>
        <v>588098.94999999995</v>
      </c>
    </row>
    <row r="118" spans="1:18" ht="13.5" customHeight="1">
      <c r="A118" s="267"/>
      <c r="B118" s="29" t="s">
        <v>40</v>
      </c>
      <c r="C118" s="18">
        <f t="shared" ref="C118:P118" si="23">C64</f>
        <v>-423988.6100000001</v>
      </c>
      <c r="D118" s="18">
        <f t="shared" si="23"/>
        <v>681488</v>
      </c>
      <c r="E118" s="18">
        <f t="shared" si="23"/>
        <v>253253.7</v>
      </c>
      <c r="F118" s="18">
        <f t="shared" si="23"/>
        <v>370617.7</v>
      </c>
      <c r="G118" s="18">
        <f t="shared" si="23"/>
        <v>0</v>
      </c>
      <c r="H118" s="18">
        <f t="shared" si="23"/>
        <v>228093.19999999998</v>
      </c>
      <c r="I118" s="18">
        <f t="shared" si="23"/>
        <v>81707.679999999993</v>
      </c>
      <c r="J118" s="18">
        <f t="shared" si="23"/>
        <v>-15119</v>
      </c>
      <c r="K118" s="18">
        <f t="shared" si="23"/>
        <v>122667.44999999995</v>
      </c>
      <c r="L118" s="18">
        <f t="shared" si="23"/>
        <v>89653.270000000135</v>
      </c>
      <c r="M118" s="18">
        <f t="shared" si="23"/>
        <v>2053929.55</v>
      </c>
      <c r="N118" s="18">
        <f t="shared" si="23"/>
        <v>826034</v>
      </c>
      <c r="O118" s="18">
        <f t="shared" si="23"/>
        <v>6702.93</v>
      </c>
      <c r="P118" s="18">
        <f t="shared" si="23"/>
        <v>402840</v>
      </c>
      <c r="R118" s="56">
        <f t="shared" si="20"/>
        <v>3442302.9400000004</v>
      </c>
    </row>
    <row r="119" spans="1:18" ht="13.5" customHeight="1">
      <c r="A119" s="267"/>
      <c r="B119" s="29" t="s">
        <v>234</v>
      </c>
      <c r="C119" s="18">
        <f>C65</f>
        <v>-391152.71</v>
      </c>
      <c r="D119" s="18">
        <f>D65</f>
        <v>-451841</v>
      </c>
      <c r="E119" s="18">
        <f t="shared" ref="E119:P119" si="24">E65</f>
        <v>-536792.61</v>
      </c>
      <c r="F119" s="18">
        <f t="shared" si="24"/>
        <v>-517843.20999999996</v>
      </c>
      <c r="G119" s="18">
        <f>G65</f>
        <v>0</v>
      </c>
      <c r="H119" s="18">
        <f t="shared" si="24"/>
        <v>-296423.81</v>
      </c>
      <c r="I119" s="18">
        <f t="shared" si="24"/>
        <v>-66512.66</v>
      </c>
      <c r="J119" s="18">
        <f t="shared" si="24"/>
        <v>-200303</v>
      </c>
      <c r="K119" s="18">
        <f t="shared" si="24"/>
        <v>-145517.13999999998</v>
      </c>
      <c r="L119" s="18">
        <f t="shared" si="24"/>
        <v>-284673.86</v>
      </c>
      <c r="M119" s="18">
        <f t="shared" si="24"/>
        <v>-644243.81999999995</v>
      </c>
      <c r="N119" s="18">
        <f t="shared" si="24"/>
        <v>0</v>
      </c>
      <c r="O119" s="18">
        <f t="shared" si="24"/>
        <v>0</v>
      </c>
      <c r="P119" s="18">
        <f t="shared" si="24"/>
        <v>0</v>
      </c>
      <c r="R119" s="56">
        <f t="shared" si="20"/>
        <v>-3535303.82</v>
      </c>
    </row>
    <row r="120" spans="1:18" ht="13.5" customHeight="1">
      <c r="A120" s="267"/>
      <c r="B120" s="29" t="s">
        <v>41</v>
      </c>
      <c r="C120" s="18">
        <f>C66</f>
        <v>0</v>
      </c>
      <c r="D120" s="18">
        <f t="shared" ref="D120:P120" si="25">D66</f>
        <v>0</v>
      </c>
      <c r="E120" s="18">
        <f t="shared" si="25"/>
        <v>0</v>
      </c>
      <c r="F120" s="18">
        <f t="shared" si="25"/>
        <v>0</v>
      </c>
      <c r="G120" s="18">
        <f>G66</f>
        <v>0</v>
      </c>
      <c r="H120" s="18">
        <f t="shared" si="25"/>
        <v>0</v>
      </c>
      <c r="I120" s="18">
        <f t="shared" si="25"/>
        <v>0</v>
      </c>
      <c r="J120" s="18">
        <f t="shared" si="25"/>
        <v>0</v>
      </c>
      <c r="K120" s="18">
        <f t="shared" si="25"/>
        <v>0</v>
      </c>
      <c r="L120" s="18">
        <f t="shared" si="25"/>
        <v>0</v>
      </c>
      <c r="M120" s="18">
        <f t="shared" si="25"/>
        <v>0</v>
      </c>
      <c r="N120" s="18">
        <f t="shared" si="25"/>
        <v>0</v>
      </c>
      <c r="O120" s="18">
        <f t="shared" si="25"/>
        <v>0</v>
      </c>
      <c r="P120" s="18">
        <f t="shared" si="25"/>
        <v>0</v>
      </c>
      <c r="R120" s="56">
        <f t="shared" si="20"/>
        <v>0</v>
      </c>
    </row>
    <row r="121" spans="1:18" ht="13.5" customHeight="1">
      <c r="A121" s="267"/>
      <c r="B121" s="29" t="s">
        <v>115</v>
      </c>
      <c r="C121" s="18">
        <f>C67</f>
        <v>1767927</v>
      </c>
      <c r="D121" s="18">
        <f t="shared" ref="D121:P121" si="26">D67</f>
        <v>704378</v>
      </c>
      <c r="E121" s="18">
        <f t="shared" si="26"/>
        <v>2108613.7600000002</v>
      </c>
      <c r="F121" s="18">
        <f t="shared" si="26"/>
        <v>765910.88999999966</v>
      </c>
      <c r="G121" s="18">
        <f>G67</f>
        <v>0</v>
      </c>
      <c r="H121" s="18">
        <f t="shared" si="26"/>
        <v>954573.10999999987</v>
      </c>
      <c r="I121" s="18">
        <f t="shared" si="26"/>
        <v>735730</v>
      </c>
      <c r="J121" s="18">
        <f t="shared" si="26"/>
        <v>1515742</v>
      </c>
      <c r="K121" s="18">
        <f t="shared" si="26"/>
        <v>1271711.0799999998</v>
      </c>
      <c r="L121" s="18">
        <f t="shared" si="26"/>
        <v>897433.30999999994</v>
      </c>
      <c r="M121" s="18">
        <f t="shared" si="26"/>
        <v>1935629.05</v>
      </c>
      <c r="N121" s="18">
        <f t="shared" si="26"/>
        <v>591083</v>
      </c>
      <c r="O121" s="18">
        <f t="shared" si="26"/>
        <v>626120.44999999972</v>
      </c>
      <c r="P121" s="18">
        <f t="shared" si="26"/>
        <v>1455289</v>
      </c>
      <c r="R121" s="56">
        <f t="shared" si="20"/>
        <v>12657648.200000001</v>
      </c>
    </row>
    <row r="122" spans="1:18" ht="13.5" customHeight="1">
      <c r="A122" s="273"/>
      <c r="B122" s="60" t="s">
        <v>103</v>
      </c>
      <c r="C122" s="61">
        <v>0</v>
      </c>
      <c r="D122" s="62">
        <v>0</v>
      </c>
      <c r="E122" s="62">
        <v>0</v>
      </c>
      <c r="F122" s="62">
        <v>0</v>
      </c>
      <c r="G122" s="62"/>
      <c r="H122" s="62">
        <v>0</v>
      </c>
      <c r="I122" s="62">
        <v>0</v>
      </c>
      <c r="J122" s="62">
        <v>2</v>
      </c>
      <c r="K122" s="62"/>
      <c r="L122" s="62">
        <v>0</v>
      </c>
      <c r="M122" s="62">
        <v>0</v>
      </c>
      <c r="N122" s="63"/>
      <c r="O122" s="61">
        <v>0</v>
      </c>
      <c r="P122" s="62">
        <v>0</v>
      </c>
      <c r="R122" s="56">
        <f>SUM(C122:P122)</f>
        <v>2</v>
      </c>
    </row>
    <row r="123" spans="1:18" s="22" customFormat="1" ht="13.5" customHeight="1">
      <c r="A123" s="250" t="s">
        <v>43</v>
      </c>
      <c r="B123" s="64"/>
      <c r="C123" s="65">
        <f>SUM(C117:C122)</f>
        <v>1003401.3099999998</v>
      </c>
      <c r="D123" s="65">
        <f t="shared" ref="D123:P123" si="27">SUM(D117:D122)</f>
        <v>934025</v>
      </c>
      <c r="E123" s="65">
        <f t="shared" si="27"/>
        <v>1921208.4300000002</v>
      </c>
      <c r="F123" s="65">
        <f t="shared" si="27"/>
        <v>718663.99999999977</v>
      </c>
      <c r="G123" s="65">
        <f t="shared" si="27"/>
        <v>0</v>
      </c>
      <c r="H123" s="65">
        <f t="shared" si="27"/>
        <v>936794.5399999998</v>
      </c>
      <c r="I123" s="65">
        <f t="shared" si="27"/>
        <v>889459.37</v>
      </c>
      <c r="J123" s="65">
        <f t="shared" si="27"/>
        <v>1311627</v>
      </c>
      <c r="K123" s="65">
        <f t="shared" si="27"/>
        <v>1263348.2599999998</v>
      </c>
      <c r="L123" s="65">
        <f t="shared" si="27"/>
        <v>827405.58000000007</v>
      </c>
      <c r="M123" s="65">
        <f t="shared" si="27"/>
        <v>3346814.7800000003</v>
      </c>
      <c r="N123" s="65">
        <f t="shared" ref="N123" si="28">SUM(N117:N122)</f>
        <v>1417117</v>
      </c>
      <c r="O123" s="65">
        <f t="shared" si="27"/>
        <v>577753.97999999975</v>
      </c>
      <c r="P123" s="65">
        <f t="shared" si="27"/>
        <v>1858129</v>
      </c>
      <c r="R123" s="58">
        <f t="shared" si="20"/>
        <v>13152748.27</v>
      </c>
    </row>
    <row r="124" spans="1:18" s="45" customFormat="1">
      <c r="A124" s="272" t="s">
        <v>209</v>
      </c>
      <c r="B124" s="195"/>
      <c r="C124" s="196">
        <f>SUM(C115:C122)</f>
        <v>1951166.8499999999</v>
      </c>
      <c r="D124" s="196">
        <f>SUM(D115:D122)</f>
        <v>1726204</v>
      </c>
      <c r="E124" s="196">
        <f t="shared" ref="E124:P124" si="29">SUM(E115:E122)</f>
        <v>2977651.3600000003</v>
      </c>
      <c r="F124" s="196">
        <f t="shared" si="29"/>
        <v>1625472.7599999998</v>
      </c>
      <c r="G124" s="196">
        <f>SUM(G115:G122)</f>
        <v>0</v>
      </c>
      <c r="H124" s="196">
        <f>SUM(H115:H122)</f>
        <v>1416991.2599999998</v>
      </c>
      <c r="I124" s="196">
        <f t="shared" si="29"/>
        <v>1078756.03</v>
      </c>
      <c r="J124" s="196">
        <f t="shared" si="29"/>
        <v>1766911</v>
      </c>
      <c r="K124" s="196">
        <f t="shared" si="29"/>
        <v>1541906.0899999999</v>
      </c>
      <c r="L124" s="196">
        <f t="shared" si="29"/>
        <v>1323930.96</v>
      </c>
      <c r="M124" s="196">
        <f t="shared" si="29"/>
        <v>4427827.9200000009</v>
      </c>
      <c r="N124" s="196">
        <f t="shared" ref="N124" si="30">SUM(N115:N122)</f>
        <v>2248606</v>
      </c>
      <c r="O124" s="196">
        <f t="shared" si="29"/>
        <v>700753.97999999975</v>
      </c>
      <c r="P124" s="196">
        <f t="shared" si="29"/>
        <v>1949494</v>
      </c>
      <c r="R124" s="197">
        <f t="shared" si="20"/>
        <v>19836818.23</v>
      </c>
    </row>
    <row r="125" spans="1:18">
      <c r="B125" s="10" t="s">
        <v>150</v>
      </c>
      <c r="C125" s="85">
        <f t="shared" ref="C125:P125" si="31">+C101-C124</f>
        <v>-6.9999999366700649E-2</v>
      </c>
      <c r="D125" s="85">
        <f t="shared" si="31"/>
        <v>1</v>
      </c>
      <c r="E125" s="85">
        <f>+E101-E124</f>
        <v>0.23999999975785613</v>
      </c>
      <c r="F125" s="85">
        <f t="shared" si="31"/>
        <v>0</v>
      </c>
      <c r="G125" s="85">
        <f t="shared" si="31"/>
        <v>0</v>
      </c>
      <c r="H125" s="85">
        <f t="shared" si="31"/>
        <v>0</v>
      </c>
      <c r="I125" s="85">
        <f t="shared" si="31"/>
        <v>-2.0000000002328306</v>
      </c>
      <c r="J125" s="85">
        <f>+J101-J124</f>
        <v>-5</v>
      </c>
      <c r="K125" s="85">
        <f t="shared" si="31"/>
        <v>0</v>
      </c>
      <c r="L125" s="85">
        <f t="shared" si="31"/>
        <v>-0.72999999998137355</v>
      </c>
      <c r="M125" s="85">
        <f t="shared" si="31"/>
        <v>-3.0000000260770321E-2</v>
      </c>
      <c r="N125" s="104">
        <f t="shared" si="31"/>
        <v>0</v>
      </c>
      <c r="O125" s="85">
        <f t="shared" si="31"/>
        <v>0</v>
      </c>
      <c r="P125" s="85">
        <f t="shared" si="31"/>
        <v>0</v>
      </c>
    </row>
    <row r="126" spans="1:18" ht="12.75" customHeight="1"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104"/>
      <c r="O126" s="85"/>
      <c r="P126" s="85"/>
    </row>
    <row r="127" spans="1:18" ht="43.5" customHeight="1">
      <c r="A127" s="333" t="s">
        <v>116</v>
      </c>
      <c r="B127" s="334"/>
      <c r="C127" s="338">
        <f t="shared" ref="C127:P127" si="32">C57/(C32)</f>
        <v>-1.5056395380853587E-2</v>
      </c>
      <c r="D127" s="338">
        <f t="shared" si="32"/>
        <v>-3.2996217034290752E-2</v>
      </c>
      <c r="E127" s="338">
        <f t="shared" si="32"/>
        <v>0.22679837881897802</v>
      </c>
      <c r="F127" s="338">
        <f t="shared" si="32"/>
        <v>-2.0218486335672418E-2</v>
      </c>
      <c r="G127" s="347" t="e">
        <f t="shared" si="32"/>
        <v>#DIV/0!</v>
      </c>
      <c r="H127" s="338">
        <f t="shared" si="32"/>
        <v>0.10253321450611907</v>
      </c>
      <c r="I127" s="338">
        <f t="shared" si="32"/>
        <v>-0.202232174403641</v>
      </c>
      <c r="J127" s="338">
        <f t="shared" si="32"/>
        <v>-8.8985351640452098E-2</v>
      </c>
      <c r="K127" s="338">
        <f t="shared" si="32"/>
        <v>-0.20433981761952769</v>
      </c>
      <c r="L127" s="338">
        <f t="shared" si="32"/>
        <v>-7.9265749030988542E-2</v>
      </c>
      <c r="M127" s="338">
        <f t="shared" si="32"/>
        <v>0.15508185422176163</v>
      </c>
      <c r="N127" s="338">
        <f t="shared" ref="N127" si="33">N57/(N32)</f>
        <v>-0.42522115972477903</v>
      </c>
      <c r="O127" s="338">
        <f t="shared" si="32"/>
        <v>-6.1319860082309247E-2</v>
      </c>
      <c r="P127" s="338">
        <f t="shared" si="32"/>
        <v>-3.0430010077083142E-2</v>
      </c>
    </row>
    <row r="128" spans="1:18" ht="24">
      <c r="A128" s="241"/>
      <c r="B128" s="242" t="s">
        <v>117</v>
      </c>
      <c r="C128" s="338"/>
      <c r="D128" s="338"/>
      <c r="E128" s="338"/>
      <c r="F128" s="338"/>
      <c r="G128" s="348"/>
      <c r="H128" s="338"/>
      <c r="I128" s="338"/>
      <c r="J128" s="338"/>
      <c r="K128" s="338"/>
      <c r="L128" s="338"/>
      <c r="M128" s="338"/>
      <c r="N128" s="338"/>
      <c r="O128" s="338"/>
      <c r="P128" s="338"/>
    </row>
    <row r="129" spans="1:17" ht="14.25">
      <c r="A129" s="243" t="s">
        <v>190</v>
      </c>
      <c r="B129" s="244"/>
      <c r="C129" s="339">
        <f t="shared" ref="C129:P129" si="34">(SUM(C87:C88))/SUM(C103:C108)</f>
        <v>5.4029666225582772E-2</v>
      </c>
      <c r="D129" s="339">
        <f t="shared" si="34"/>
        <v>12.080482304211317</v>
      </c>
      <c r="E129" s="339">
        <f t="shared" si="34"/>
        <v>2.5981738752607071</v>
      </c>
      <c r="F129" s="339">
        <f t="shared" si="34"/>
        <v>6.5929075384059104</v>
      </c>
      <c r="G129" s="339" t="e">
        <f t="shared" ref="G129" si="35">(SUM(G87:G88))/SUM(G103:G108)</f>
        <v>#DIV/0!</v>
      </c>
      <c r="H129" s="339">
        <f t="shared" si="34"/>
        <v>-5.9994369759145674E-3</v>
      </c>
      <c r="I129" s="339">
        <f t="shared" si="34"/>
        <v>3.4123854109912566</v>
      </c>
      <c r="J129" s="339">
        <f t="shared" si="34"/>
        <v>1.066284164406426</v>
      </c>
      <c r="K129" s="339">
        <f t="shared" si="34"/>
        <v>18.574784342468771</v>
      </c>
      <c r="L129" s="339">
        <f t="shared" si="34"/>
        <v>5.6201945195018279</v>
      </c>
      <c r="M129" s="339">
        <f t="shared" si="34"/>
        <v>25.434799611799907</v>
      </c>
      <c r="N129" s="339">
        <f t="shared" ref="N129" si="36">(SUM(N87:N88))/SUM(N103:N108)</f>
        <v>2.469615031101041</v>
      </c>
      <c r="O129" s="339" t="e">
        <f t="shared" si="34"/>
        <v>#DIV/0!</v>
      </c>
      <c r="P129" s="339">
        <f t="shared" si="34"/>
        <v>5.8079884805609465</v>
      </c>
    </row>
    <row r="130" spans="1:17" ht="36">
      <c r="A130" s="245"/>
      <c r="B130" s="246" t="s">
        <v>191</v>
      </c>
      <c r="C130" s="340"/>
      <c r="D130" s="340"/>
      <c r="E130" s="340"/>
      <c r="F130" s="340"/>
      <c r="G130" s="340"/>
      <c r="H130" s="340"/>
      <c r="I130" s="340"/>
      <c r="J130" s="340"/>
      <c r="K130" s="340"/>
      <c r="L130" s="340"/>
      <c r="M130" s="340"/>
      <c r="N130" s="340"/>
      <c r="O130" s="340"/>
      <c r="P130" s="340"/>
    </row>
    <row r="131" spans="1:17" ht="14.25">
      <c r="A131" s="243" t="s">
        <v>192</v>
      </c>
      <c r="B131" s="244"/>
      <c r="C131" s="339">
        <f t="shared" ref="C131:P131" si="37">(SUM(C87:C88))/SUM(C103:C109)</f>
        <v>4.2130567988814802E-2</v>
      </c>
      <c r="D131" s="339">
        <f t="shared" si="37"/>
        <v>6.6744740978426407</v>
      </c>
      <c r="E131" s="339">
        <f t="shared" si="37"/>
        <v>2.252256892042475</v>
      </c>
      <c r="F131" s="339">
        <f t="shared" si="37"/>
        <v>4.5196359107584758</v>
      </c>
      <c r="G131" s="339" t="e">
        <f t="shared" si="37"/>
        <v>#DIV/0!</v>
      </c>
      <c r="H131" s="339">
        <f t="shared" si="37"/>
        <v>-6.0495625368541337E-3</v>
      </c>
      <c r="I131" s="339">
        <f t="shared" si="37"/>
        <v>3.4123854109912566</v>
      </c>
      <c r="J131" s="339">
        <f t="shared" si="37"/>
        <v>0.90760615406472545</v>
      </c>
      <c r="K131" s="339">
        <f t="shared" si="37"/>
        <v>18.574784342468771</v>
      </c>
      <c r="L131" s="339">
        <f t="shared" si="37"/>
        <v>5.4272236330414394</v>
      </c>
      <c r="M131" s="339">
        <f t="shared" si="37"/>
        <v>13.915830449767196</v>
      </c>
      <c r="N131" s="339">
        <f t="shared" ref="N131" si="38">(SUM(N87:N88))/SUM(N103:N109)</f>
        <v>2.4501685138481517</v>
      </c>
      <c r="O131" s="339" t="e">
        <f t="shared" si="37"/>
        <v>#DIV/0!</v>
      </c>
      <c r="P131" s="339">
        <f t="shared" si="37"/>
        <v>5.8079884805609465</v>
      </c>
    </row>
    <row r="132" spans="1:17" ht="24">
      <c r="A132" s="245"/>
      <c r="B132" s="246" t="s">
        <v>193</v>
      </c>
      <c r="C132" s="340"/>
      <c r="D132" s="340"/>
      <c r="E132" s="340"/>
      <c r="F132" s="340"/>
      <c r="G132" s="340"/>
      <c r="H132" s="340"/>
      <c r="I132" s="340"/>
      <c r="J132" s="340"/>
      <c r="K132" s="340"/>
      <c r="L132" s="340"/>
      <c r="M132" s="340"/>
      <c r="N132" s="340"/>
      <c r="O132" s="340"/>
      <c r="P132" s="340"/>
    </row>
    <row r="133" spans="1:17" s="151" customFormat="1" ht="8.1" customHeight="1">
      <c r="A133" s="152"/>
      <c r="B133" s="153"/>
      <c r="C133" s="154"/>
      <c r="D133" s="154"/>
      <c r="E133" s="154"/>
      <c r="F133" s="154"/>
      <c r="G133" s="154"/>
      <c r="H133" s="154"/>
      <c r="I133" s="154"/>
      <c r="J133" s="154"/>
      <c r="K133" s="154"/>
      <c r="L133" s="154"/>
      <c r="M133" s="154"/>
      <c r="N133" s="154"/>
      <c r="O133" s="154"/>
      <c r="P133" s="155"/>
    </row>
    <row r="134" spans="1:17" ht="12.75" customHeight="1">
      <c r="A134" s="248" t="s">
        <v>118</v>
      </c>
      <c r="B134" s="64"/>
      <c r="C134" s="337">
        <f t="shared" ref="C134:P134" si="39">C115/C101</f>
        <v>0.48574296657510735</v>
      </c>
      <c r="D134" s="337">
        <f t="shared" si="39"/>
        <v>0.45891362845085026</v>
      </c>
      <c r="E134" s="337">
        <f t="shared" si="39"/>
        <v>0.35479064441252961</v>
      </c>
      <c r="F134" s="337">
        <f t="shared" si="39"/>
        <v>0.55787385818757151</v>
      </c>
      <c r="G134" s="351" t="e">
        <f t="shared" si="39"/>
        <v>#DIV/0!</v>
      </c>
      <c r="H134" s="337">
        <f t="shared" si="39"/>
        <v>0.33888474372100208</v>
      </c>
      <c r="I134" s="337">
        <f t="shared" si="39"/>
        <v>0.17547712892437586</v>
      </c>
      <c r="J134" s="337">
        <f t="shared" si="39"/>
        <v>0.25767301712711371</v>
      </c>
      <c r="K134" s="337">
        <f t="shared" si="39"/>
        <v>0.18065810350356676</v>
      </c>
      <c r="L134" s="337">
        <f t="shared" si="39"/>
        <v>0.37503893237636854</v>
      </c>
      <c r="M134" s="337">
        <f t="shared" si="39"/>
        <v>0.24414073149532467</v>
      </c>
      <c r="N134" s="337">
        <f t="shared" ref="N134" si="40">N115/N101</f>
        <v>0.36977976577488453</v>
      </c>
      <c r="O134" s="337">
        <f t="shared" si="39"/>
        <v>0.17552522498694906</v>
      </c>
      <c r="P134" s="337">
        <f t="shared" si="39"/>
        <v>4.6866007281889555E-2</v>
      </c>
    </row>
    <row r="135" spans="1:17" ht="25.5">
      <c r="A135" s="241"/>
      <c r="B135" s="247" t="s">
        <v>119</v>
      </c>
      <c r="C135" s="337"/>
      <c r="D135" s="337"/>
      <c r="E135" s="337"/>
      <c r="F135" s="337"/>
      <c r="G135" s="352"/>
      <c r="H135" s="337"/>
      <c r="I135" s="337"/>
      <c r="J135" s="337"/>
      <c r="K135" s="337"/>
      <c r="L135" s="337"/>
      <c r="M135" s="337"/>
      <c r="N135" s="337"/>
      <c r="O135" s="337"/>
      <c r="P135" s="337"/>
    </row>
    <row r="136" spans="1:17" ht="12.75" customHeight="1">
      <c r="A136" s="248" t="s">
        <v>120</v>
      </c>
      <c r="B136" s="249"/>
      <c r="C136" s="337">
        <f t="shared" ref="C136:P136" si="41">C123/C101</f>
        <v>0.5142570693008619</v>
      </c>
      <c r="D136" s="337">
        <f t="shared" si="41"/>
        <v>0.54108579224367903</v>
      </c>
      <c r="E136" s="337">
        <f t="shared" si="41"/>
        <v>0.64520927498704017</v>
      </c>
      <c r="F136" s="337">
        <f t="shared" si="41"/>
        <v>0.44212614181242887</v>
      </c>
      <c r="G136" s="351" t="e">
        <f t="shared" si="41"/>
        <v>#DIV/0!</v>
      </c>
      <c r="H136" s="337">
        <f t="shared" si="41"/>
        <v>0.66111525627899748</v>
      </c>
      <c r="I136" s="337">
        <f t="shared" si="41"/>
        <v>0.82452472506638064</v>
      </c>
      <c r="J136" s="337">
        <f t="shared" si="41"/>
        <v>0.74232981267820697</v>
      </c>
      <c r="K136" s="337">
        <f t="shared" si="41"/>
        <v>0.81934189649643285</v>
      </c>
      <c r="L136" s="337">
        <f t="shared" si="41"/>
        <v>0.62496161901220437</v>
      </c>
      <c r="M136" s="337">
        <f t="shared" si="41"/>
        <v>0.7558592752800064</v>
      </c>
      <c r="N136" s="337">
        <f t="shared" ref="N136" si="42">N123/N101</f>
        <v>0.63022023422511542</v>
      </c>
      <c r="O136" s="337">
        <f t="shared" si="41"/>
        <v>0.82447477501305055</v>
      </c>
      <c r="P136" s="337">
        <f t="shared" si="41"/>
        <v>0.95313399271811039</v>
      </c>
    </row>
    <row r="137" spans="1:17" ht="24">
      <c r="A137" s="241"/>
      <c r="B137" s="242" t="s">
        <v>121</v>
      </c>
      <c r="C137" s="337"/>
      <c r="D137" s="337"/>
      <c r="E137" s="337"/>
      <c r="F137" s="337"/>
      <c r="G137" s="352"/>
      <c r="H137" s="337"/>
      <c r="I137" s="337"/>
      <c r="J137" s="337"/>
      <c r="K137" s="337"/>
      <c r="L137" s="337"/>
      <c r="M137" s="337"/>
      <c r="N137" s="337"/>
      <c r="O137" s="337"/>
      <c r="P137" s="337"/>
    </row>
    <row r="138" spans="1:17" ht="12.75" customHeight="1">
      <c r="A138" s="335" t="s">
        <v>122</v>
      </c>
      <c r="B138" s="336"/>
      <c r="C138" s="337">
        <f t="shared" ref="C138:P138" si="43">C115/C123</f>
        <v>0.94455282303747456</v>
      </c>
      <c r="D138" s="337">
        <f t="shared" si="43"/>
        <v>0.84813468590241159</v>
      </c>
      <c r="E138" s="337">
        <f t="shared" si="43"/>
        <v>0.54988460049594923</v>
      </c>
      <c r="F138" s="337">
        <f t="shared" si="43"/>
        <v>1.2617979473022167</v>
      </c>
      <c r="G138" s="351" t="e">
        <f t="shared" si="43"/>
        <v>#DIV/0!</v>
      </c>
      <c r="H138" s="337">
        <f t="shared" si="43"/>
        <v>0.51259555803986656</v>
      </c>
      <c r="I138" s="337">
        <f t="shared" si="43"/>
        <v>0.21282215510304872</v>
      </c>
      <c r="J138" s="337">
        <f t="shared" si="43"/>
        <v>0.34711392796885088</v>
      </c>
      <c r="K138" s="337">
        <f t="shared" si="43"/>
        <v>0.22049171936169051</v>
      </c>
      <c r="L138" s="337">
        <f t="shared" si="43"/>
        <v>0.60009914363884276</v>
      </c>
      <c r="M138" s="337">
        <f t="shared" si="43"/>
        <v>0.32299759952655643</v>
      </c>
      <c r="N138" s="337">
        <f t="shared" ref="N138" si="44">N115/N123</f>
        <v>0.58674689528105306</v>
      </c>
      <c r="O138" s="337">
        <f t="shared" si="43"/>
        <v>0.21289338413557973</v>
      </c>
      <c r="P138" s="337">
        <f t="shared" si="43"/>
        <v>4.9170428963758707E-2</v>
      </c>
    </row>
    <row r="139" spans="1:17" ht="12.75" customHeight="1">
      <c r="A139" s="241"/>
      <c r="B139" s="242" t="s">
        <v>123</v>
      </c>
      <c r="C139" s="337"/>
      <c r="D139" s="337"/>
      <c r="E139" s="337"/>
      <c r="F139" s="337"/>
      <c r="G139" s="352"/>
      <c r="H139" s="337"/>
      <c r="I139" s="337"/>
      <c r="J139" s="337"/>
      <c r="K139" s="337"/>
      <c r="L139" s="337"/>
      <c r="M139" s="337"/>
      <c r="N139" s="337"/>
      <c r="O139" s="337"/>
      <c r="P139" s="337"/>
    </row>
    <row r="140" spans="1:17" s="151" customFormat="1" ht="8.1" customHeight="1">
      <c r="A140" s="156"/>
      <c r="B140" s="157"/>
      <c r="C140" s="158"/>
      <c r="D140" s="158"/>
      <c r="E140" s="158"/>
      <c r="F140" s="158"/>
      <c r="G140" s="158"/>
      <c r="H140" s="158"/>
      <c r="I140" s="158"/>
      <c r="J140" s="158"/>
      <c r="K140" s="158"/>
      <c r="L140" s="158"/>
      <c r="M140" s="158"/>
      <c r="N140" s="158"/>
      <c r="O140" s="158"/>
      <c r="P140" s="160"/>
    </row>
    <row r="141" spans="1:17">
      <c r="A141" s="250" t="s">
        <v>124</v>
      </c>
      <c r="B141" s="23"/>
      <c r="C141" s="107">
        <v>2</v>
      </c>
      <c r="D141" s="107">
        <v>3</v>
      </c>
      <c r="E141" s="107">
        <v>5</v>
      </c>
      <c r="F141" s="107">
        <v>4</v>
      </c>
      <c r="G141" s="107"/>
      <c r="H141" s="107">
        <v>2</v>
      </c>
      <c r="I141" s="107">
        <v>0</v>
      </c>
      <c r="J141" s="107">
        <v>2</v>
      </c>
      <c r="K141" s="107">
        <v>1</v>
      </c>
      <c r="L141" s="107">
        <v>2</v>
      </c>
      <c r="M141" s="107">
        <v>6</v>
      </c>
      <c r="N141" s="107">
        <v>4</v>
      </c>
      <c r="O141" s="107">
        <v>4</v>
      </c>
      <c r="P141" s="107">
        <v>4</v>
      </c>
    </row>
    <row r="142" spans="1:17" s="151" customFormat="1" ht="8.1" customHeight="1">
      <c r="A142" s="162"/>
      <c r="B142" s="157"/>
      <c r="C142" s="157"/>
      <c r="D142" s="157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  <c r="P142" s="163"/>
    </row>
    <row r="143" spans="1:17">
      <c r="A143" s="252" t="s">
        <v>125</v>
      </c>
      <c r="B143" s="252"/>
      <c r="C143" s="164">
        <v>5899</v>
      </c>
      <c r="D143" s="173">
        <v>16173</v>
      </c>
      <c r="E143" s="173">
        <v>12019</v>
      </c>
      <c r="F143" s="173">
        <v>25333</v>
      </c>
      <c r="G143" s="173"/>
      <c r="H143" s="173">
        <v>22218</v>
      </c>
      <c r="I143" s="173">
        <v>20822</v>
      </c>
      <c r="J143" s="173">
        <v>15145</v>
      </c>
      <c r="K143" s="173">
        <v>8119</v>
      </c>
      <c r="L143" s="173">
        <v>25570</v>
      </c>
      <c r="M143" s="49" t="s">
        <v>223</v>
      </c>
      <c r="N143" s="173">
        <v>10887</v>
      </c>
      <c r="O143" s="173">
        <v>33814</v>
      </c>
      <c r="P143" s="173">
        <v>34052</v>
      </c>
      <c r="Q143" s="34">
        <f>AVERAGE(C143:P143)</f>
        <v>19170.916666666668</v>
      </c>
    </row>
    <row r="144" spans="1:17">
      <c r="A144" s="251" t="s">
        <v>126</v>
      </c>
      <c r="B144" s="251"/>
      <c r="C144" s="55">
        <v>999</v>
      </c>
      <c r="D144" s="173">
        <v>29711</v>
      </c>
      <c r="E144" s="173">
        <v>914</v>
      </c>
      <c r="F144" s="173">
        <v>15798</v>
      </c>
      <c r="G144" s="173"/>
      <c r="H144" s="173">
        <v>0</v>
      </c>
      <c r="I144" s="173">
        <v>7995</v>
      </c>
      <c r="J144" s="173">
        <v>7594</v>
      </c>
      <c r="K144" s="173">
        <v>1150</v>
      </c>
      <c r="L144" s="173">
        <v>12512</v>
      </c>
      <c r="M144" s="49" t="s">
        <v>223</v>
      </c>
      <c r="N144" s="173">
        <v>6555</v>
      </c>
      <c r="O144" s="173">
        <v>25289</v>
      </c>
      <c r="P144" s="173">
        <v>38592</v>
      </c>
      <c r="Q144" s="34">
        <f>AVERAGE(C144:P144)</f>
        <v>12259.083333333334</v>
      </c>
    </row>
    <row r="145" spans="1:17">
      <c r="A145" s="251" t="s">
        <v>127</v>
      </c>
      <c r="B145" s="251"/>
      <c r="C145" s="164">
        <f>+C143+C144</f>
        <v>6898</v>
      </c>
      <c r="D145" s="173">
        <v>45884</v>
      </c>
      <c r="E145" s="173">
        <v>12933</v>
      </c>
      <c r="F145" s="173">
        <v>41131</v>
      </c>
      <c r="G145" s="173"/>
      <c r="H145" s="173">
        <v>22218</v>
      </c>
      <c r="I145" s="173">
        <v>28817</v>
      </c>
      <c r="J145" s="173">
        <v>22739</v>
      </c>
      <c r="K145" s="173">
        <v>9269</v>
      </c>
      <c r="L145" s="173">
        <v>38082</v>
      </c>
      <c r="M145" s="49" t="s">
        <v>223</v>
      </c>
      <c r="N145" s="173">
        <v>17442</v>
      </c>
      <c r="O145" s="173">
        <v>59103</v>
      </c>
      <c r="P145" s="173">
        <v>72644</v>
      </c>
      <c r="Q145" s="34">
        <f>AVERAGE(C145:P145)</f>
        <v>31430</v>
      </c>
    </row>
    <row r="148" spans="1:17" ht="12.75" customHeight="1">
      <c r="A148" s="188"/>
      <c r="B148" s="52"/>
      <c r="C148" s="137"/>
      <c r="D148" s="137"/>
      <c r="H148" s="48"/>
      <c r="I148" s="48"/>
      <c r="J148" s="48"/>
      <c r="K148" s="48"/>
      <c r="L148" s="48"/>
      <c r="M148" s="48"/>
      <c r="O148" s="48"/>
      <c r="P148" s="48"/>
    </row>
    <row r="149" spans="1:17" ht="12.75" customHeight="1">
      <c r="A149" s="188"/>
      <c r="B149" s="52"/>
      <c r="C149" s="137"/>
      <c r="D149" s="137"/>
      <c r="M149" s="48"/>
    </row>
  </sheetData>
  <mergeCells count="101">
    <mergeCell ref="P136:P137"/>
    <mergeCell ref="D138:D139"/>
    <mergeCell ref="E138:E139"/>
    <mergeCell ref="F138:F139"/>
    <mergeCell ref="G138:G139"/>
    <mergeCell ref="H138:H139"/>
    <mergeCell ref="I138:I139"/>
    <mergeCell ref="J138:J139"/>
    <mergeCell ref="K138:K139"/>
    <mergeCell ref="L138:L139"/>
    <mergeCell ref="M138:M139"/>
    <mergeCell ref="N138:N139"/>
    <mergeCell ref="O138:O139"/>
    <mergeCell ref="P138:P139"/>
    <mergeCell ref="K136:K137"/>
    <mergeCell ref="L136:L137"/>
    <mergeCell ref="M136:M137"/>
    <mergeCell ref="N136:N137"/>
    <mergeCell ref="O136:O137"/>
    <mergeCell ref="F136:F137"/>
    <mergeCell ref="G136:G137"/>
    <mergeCell ref="H136:H137"/>
    <mergeCell ref="I136:I137"/>
    <mergeCell ref="J136:J137"/>
    <mergeCell ref="N131:N132"/>
    <mergeCell ref="O131:O132"/>
    <mergeCell ref="P131:P132"/>
    <mergeCell ref="G131:G132"/>
    <mergeCell ref="H131:H132"/>
    <mergeCell ref="I131:I132"/>
    <mergeCell ref="J131:J132"/>
    <mergeCell ref="K131:K132"/>
    <mergeCell ref="L134:L135"/>
    <mergeCell ref="M134:M135"/>
    <mergeCell ref="N134:N135"/>
    <mergeCell ref="O134:O135"/>
    <mergeCell ref="P134:P135"/>
    <mergeCell ref="G134:G135"/>
    <mergeCell ref="H134:H135"/>
    <mergeCell ref="I134:I135"/>
    <mergeCell ref="J134:J135"/>
    <mergeCell ref="K134:K135"/>
    <mergeCell ref="D136:D137"/>
    <mergeCell ref="E136:E137"/>
    <mergeCell ref="L127:L128"/>
    <mergeCell ref="M127:M128"/>
    <mergeCell ref="N127:N128"/>
    <mergeCell ref="O127:O128"/>
    <mergeCell ref="P127:P128"/>
    <mergeCell ref="G127:G128"/>
    <mergeCell ref="H127:H128"/>
    <mergeCell ref="I127:I128"/>
    <mergeCell ref="J127:J128"/>
    <mergeCell ref="K127:K128"/>
    <mergeCell ref="L129:L130"/>
    <mergeCell ref="M129:M130"/>
    <mergeCell ref="N129:N130"/>
    <mergeCell ref="O129:O130"/>
    <mergeCell ref="P129:P130"/>
    <mergeCell ref="G129:G130"/>
    <mergeCell ref="H129:H130"/>
    <mergeCell ref="I129:I130"/>
    <mergeCell ref="J129:J130"/>
    <mergeCell ref="K129:K130"/>
    <mergeCell ref="L131:L132"/>
    <mergeCell ref="M131:M132"/>
    <mergeCell ref="E127:E128"/>
    <mergeCell ref="F127:F128"/>
    <mergeCell ref="D129:D130"/>
    <mergeCell ref="E129:E130"/>
    <mergeCell ref="F129:F130"/>
    <mergeCell ref="D131:D132"/>
    <mergeCell ref="E131:E132"/>
    <mergeCell ref="F131:F132"/>
    <mergeCell ref="D134:D135"/>
    <mergeCell ref="E134:E135"/>
    <mergeCell ref="F134:F135"/>
    <mergeCell ref="N2:N3"/>
    <mergeCell ref="O2:O3"/>
    <mergeCell ref="P2:P3"/>
    <mergeCell ref="L2:L3"/>
    <mergeCell ref="M2:M3"/>
    <mergeCell ref="A138:B138"/>
    <mergeCell ref="H2:H3"/>
    <mergeCell ref="I2:I3"/>
    <mergeCell ref="J2:J3"/>
    <mergeCell ref="K2:K3"/>
    <mergeCell ref="A1:B3"/>
    <mergeCell ref="C2:C3"/>
    <mergeCell ref="D2:D3"/>
    <mergeCell ref="E2:E3"/>
    <mergeCell ref="F2:F3"/>
    <mergeCell ref="G2:G3"/>
    <mergeCell ref="A127:B127"/>
    <mergeCell ref="C127:C128"/>
    <mergeCell ref="C129:C130"/>
    <mergeCell ref="C131:C132"/>
    <mergeCell ref="C134:C135"/>
    <mergeCell ref="C136:C137"/>
    <mergeCell ref="C138:C139"/>
    <mergeCell ref="D127:D128"/>
  </mergeCells>
  <conditionalFormatting sqref="C127:E128 O127:P128 H127:M128">
    <cfRule type="cellIs" dxfId="40" priority="12" operator="lessThan">
      <formula>0</formula>
    </cfRule>
  </conditionalFormatting>
  <conditionalFormatting sqref="N127:N128">
    <cfRule type="cellIs" dxfId="39" priority="11" operator="lessThan">
      <formula>0</formula>
    </cfRule>
  </conditionalFormatting>
  <conditionalFormatting sqref="C69:E69 H69:P69">
    <cfRule type="cellIs" dxfId="38" priority="10" operator="lessThan">
      <formula>0</formula>
    </cfRule>
  </conditionalFormatting>
  <conditionalFormatting sqref="F127:F128">
    <cfRule type="cellIs" dxfId="37" priority="6" operator="lessThan">
      <formula>0</formula>
    </cfRule>
  </conditionalFormatting>
  <conditionalFormatting sqref="F69">
    <cfRule type="cellIs" dxfId="36" priority="5" operator="lessThan">
      <formula>0</formula>
    </cfRule>
  </conditionalFormatting>
  <conditionalFormatting sqref="G127:G128">
    <cfRule type="cellIs" dxfId="35" priority="2" operator="lessThan">
      <formula>0</formula>
    </cfRule>
  </conditionalFormatting>
  <conditionalFormatting sqref="G69">
    <cfRule type="cellIs" dxfId="34" priority="1" operator="lessThan">
      <formula>0</formula>
    </cfRule>
  </conditionalFormatting>
  <printOptions horizontalCentered="1"/>
  <pageMargins left="0.5" right="0.5" top="0.75" bottom="0.35" header="0.5" footer="0.15"/>
  <pageSetup scale="45" fitToHeight="0" orientation="portrait" r:id="rId1"/>
  <headerFooter alignWithMargins="0">
    <oddHeader>&amp;C&amp;"Arial,Bold"&amp;14CLASS III FAIRS</oddHeader>
    <oddFooter>&amp;CFairs and Expositions</oddFooter>
  </headerFooter>
  <rowBreaks count="1" manualBreakCount="1">
    <brk id="80" max="15" man="1"/>
  </rowBreaks>
  <colBreaks count="1" manualBreakCount="1">
    <brk id="9" max="141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49"/>
  <sheetViews>
    <sheetView view="pageBreakPreview" zoomScale="85" zoomScaleNormal="10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N5" sqref="N5"/>
    </sheetView>
  </sheetViews>
  <sheetFormatPr defaultRowHeight="12.75"/>
  <cols>
    <col min="1" max="1" width="4.7109375" style="10" customWidth="1"/>
    <col min="2" max="2" width="56.42578125" style="10" customWidth="1"/>
    <col min="3" max="13" width="12.7109375" style="10" customWidth="1"/>
    <col min="14" max="16" width="12.7109375" style="48" customWidth="1"/>
    <col min="17" max="17" width="13.140625" style="10" customWidth="1"/>
    <col min="18" max="18" width="12.5703125" style="10" customWidth="1"/>
    <col min="19" max="16384" width="9.140625" style="10"/>
  </cols>
  <sheetData>
    <row r="1" spans="1:18" ht="12" customHeight="1">
      <c r="A1" s="318"/>
      <c r="B1" s="319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</row>
    <row r="2" spans="1:18" ht="12" customHeight="1">
      <c r="A2" s="320"/>
      <c r="B2" s="321"/>
      <c r="C2" s="327" t="s">
        <v>151</v>
      </c>
      <c r="D2" s="327" t="s">
        <v>152</v>
      </c>
      <c r="E2" s="327" t="s">
        <v>153</v>
      </c>
      <c r="F2" s="327" t="s">
        <v>154</v>
      </c>
      <c r="G2" s="327" t="s">
        <v>210</v>
      </c>
      <c r="H2" s="327" t="s">
        <v>155</v>
      </c>
      <c r="I2" s="327" t="s">
        <v>156</v>
      </c>
      <c r="J2" s="327" t="s">
        <v>157</v>
      </c>
      <c r="K2" s="327" t="s">
        <v>158</v>
      </c>
      <c r="L2" s="327" t="s">
        <v>159</v>
      </c>
      <c r="M2" s="353" t="s">
        <v>160</v>
      </c>
      <c r="N2" s="327" t="s">
        <v>161</v>
      </c>
      <c r="O2" s="327" t="s">
        <v>219</v>
      </c>
      <c r="P2" s="327" t="s">
        <v>220</v>
      </c>
    </row>
    <row r="3" spans="1:18" ht="69" customHeight="1">
      <c r="A3" s="322"/>
      <c r="B3" s="323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54"/>
      <c r="N3" s="328"/>
      <c r="O3" s="328"/>
      <c r="P3" s="328"/>
      <c r="R3" s="10" t="s">
        <v>39</v>
      </c>
    </row>
    <row r="4" spans="1:18" ht="13.5" customHeight="1">
      <c r="A4" s="262" t="s">
        <v>227</v>
      </c>
      <c r="B4" s="12"/>
      <c r="C4" s="38"/>
      <c r="D4" s="38"/>
      <c r="E4" s="38"/>
      <c r="F4" s="38"/>
      <c r="G4" s="38"/>
      <c r="H4" s="38"/>
      <c r="I4" s="38"/>
      <c r="J4" s="38"/>
      <c r="K4" s="38"/>
      <c r="L4" s="38"/>
      <c r="M4" s="37"/>
      <c r="N4" s="37"/>
      <c r="O4" s="37"/>
      <c r="P4" s="39"/>
    </row>
    <row r="5" spans="1:18" ht="13.5" customHeight="1">
      <c r="A5" s="262"/>
      <c r="B5" s="12" t="s">
        <v>40</v>
      </c>
      <c r="C5" s="14">
        <v>686640</v>
      </c>
      <c r="D5" s="14">
        <v>1581652.77</v>
      </c>
      <c r="E5" s="14">
        <v>238263.67999999999</v>
      </c>
      <c r="F5" s="14">
        <v>3244972.71</v>
      </c>
      <c r="G5" s="14">
        <v>-96137</v>
      </c>
      <c r="H5" s="14">
        <v>260747</v>
      </c>
      <c r="I5" s="14">
        <v>49897</v>
      </c>
      <c r="J5" s="14">
        <v>654741</v>
      </c>
      <c r="K5" s="14">
        <v>1225381</v>
      </c>
      <c r="L5" s="14">
        <v>454754</v>
      </c>
      <c r="M5" s="14">
        <v>235619</v>
      </c>
      <c r="N5" s="14">
        <v>1074423</v>
      </c>
      <c r="O5" s="14">
        <v>269250</v>
      </c>
      <c r="P5" s="288">
        <v>-205341</v>
      </c>
    </row>
    <row r="6" spans="1:18" ht="13.5" customHeight="1">
      <c r="A6" s="262"/>
      <c r="B6" s="12" t="s">
        <v>214</v>
      </c>
      <c r="C6" s="30">
        <v>-520647</v>
      </c>
      <c r="D6" s="30">
        <v>-400718.31</v>
      </c>
      <c r="E6" s="30">
        <v>-424281.19</v>
      </c>
      <c r="F6" s="30">
        <v>-557045.88</v>
      </c>
      <c r="G6" s="30">
        <v>-327636</v>
      </c>
      <c r="H6" s="30">
        <v>-622300</v>
      </c>
      <c r="I6" s="30">
        <v>-517658</v>
      </c>
      <c r="J6" s="30">
        <v>-489940</v>
      </c>
      <c r="K6" s="30">
        <v>-384225</v>
      </c>
      <c r="L6" s="30">
        <v>0</v>
      </c>
      <c r="M6" s="30">
        <v>0</v>
      </c>
      <c r="N6" s="30">
        <v>0</v>
      </c>
      <c r="O6" s="31">
        <v>-297653</v>
      </c>
      <c r="P6" s="17">
        <v>0</v>
      </c>
    </row>
    <row r="7" spans="1:18" ht="13.5" customHeight="1">
      <c r="A7" s="262"/>
      <c r="B7" s="12" t="s">
        <v>41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1">
        <v>0</v>
      </c>
      <c r="O7" s="31">
        <v>31786</v>
      </c>
      <c r="P7" s="17">
        <v>0</v>
      </c>
    </row>
    <row r="8" spans="1:18" ht="13.5" customHeight="1">
      <c r="A8" s="262"/>
      <c r="B8" s="12" t="s">
        <v>42</v>
      </c>
      <c r="C8" s="30">
        <v>2822497</v>
      </c>
      <c r="D8" s="30">
        <v>907548.1</v>
      </c>
      <c r="E8" s="19">
        <v>1979355.31</v>
      </c>
      <c r="F8" s="19">
        <v>5745288.2300000004</v>
      </c>
      <c r="G8" s="19">
        <v>1683485</v>
      </c>
      <c r="H8" s="19">
        <v>3324307</v>
      </c>
      <c r="I8" s="19">
        <v>2450749</v>
      </c>
      <c r="J8" s="30">
        <v>786016</v>
      </c>
      <c r="K8" s="19">
        <v>1269025</v>
      </c>
      <c r="L8" s="19">
        <v>1414384</v>
      </c>
      <c r="M8" s="18">
        <v>1073136</v>
      </c>
      <c r="N8" s="18">
        <v>5534965</v>
      </c>
      <c r="O8" s="18">
        <v>1267129</v>
      </c>
      <c r="P8" s="17">
        <v>454017</v>
      </c>
    </row>
    <row r="9" spans="1:18" ht="13.5" customHeight="1">
      <c r="A9" s="262"/>
      <c r="B9" s="12" t="s">
        <v>226</v>
      </c>
      <c r="C9" s="97">
        <v>0</v>
      </c>
      <c r="D9" s="97">
        <v>0</v>
      </c>
      <c r="E9" s="74">
        <v>0</v>
      </c>
      <c r="F9" s="74">
        <v>54.34</v>
      </c>
      <c r="G9" s="74">
        <v>0</v>
      </c>
      <c r="H9" s="74">
        <v>0</v>
      </c>
      <c r="I9" s="74">
        <v>0</v>
      </c>
      <c r="J9" s="97">
        <v>0</v>
      </c>
      <c r="K9" s="74">
        <v>0</v>
      </c>
      <c r="L9" s="74">
        <v>0</v>
      </c>
      <c r="M9" s="75">
        <v>415</v>
      </c>
      <c r="N9" s="75">
        <v>0</v>
      </c>
      <c r="O9" s="75">
        <v>16957</v>
      </c>
      <c r="P9" s="19">
        <v>6687983.5</v>
      </c>
      <c r="R9" s="34">
        <f>SUM(C9:K9)</f>
        <v>54.34</v>
      </c>
    </row>
    <row r="10" spans="1:18" s="22" customFormat="1" ht="13.5" customHeight="1" thickBot="1">
      <c r="A10" s="263"/>
      <c r="B10" s="98" t="s">
        <v>43</v>
      </c>
      <c r="C10" s="67">
        <f t="shared" ref="C10:L10" si="0">SUM(C5:C9)</f>
        <v>2988490</v>
      </c>
      <c r="D10" s="67">
        <f t="shared" si="0"/>
        <v>2088482.56</v>
      </c>
      <c r="E10" s="67">
        <f t="shared" si="0"/>
        <v>1793337.8</v>
      </c>
      <c r="F10" s="67">
        <f t="shared" si="0"/>
        <v>8433269.4000000004</v>
      </c>
      <c r="G10" s="67">
        <f t="shared" si="0"/>
        <v>1259712</v>
      </c>
      <c r="H10" s="67">
        <f t="shared" si="0"/>
        <v>2962754</v>
      </c>
      <c r="I10" s="67">
        <f t="shared" si="0"/>
        <v>1982988</v>
      </c>
      <c r="J10" s="67">
        <f t="shared" si="0"/>
        <v>950817</v>
      </c>
      <c r="K10" s="67">
        <f t="shared" si="0"/>
        <v>2110181</v>
      </c>
      <c r="L10" s="67">
        <f t="shared" si="0"/>
        <v>1869138</v>
      </c>
      <c r="M10" s="67">
        <f>SUM(M5:M9)</f>
        <v>1309170</v>
      </c>
      <c r="N10" s="67">
        <f>SUM(N5:N9)</f>
        <v>6609388</v>
      </c>
      <c r="O10" s="67">
        <f>SUM(O5:O9)</f>
        <v>1287469</v>
      </c>
      <c r="P10" s="67">
        <f>SUM(P5:P9)</f>
        <v>6936659.5</v>
      </c>
      <c r="R10" s="34">
        <f>SUM(C10:K10)</f>
        <v>24570031.760000002</v>
      </c>
    </row>
    <row r="11" spans="1:18" s="22" customFormat="1" ht="13.5" customHeight="1">
      <c r="A11" s="241" t="s">
        <v>44</v>
      </c>
      <c r="B11" s="36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</row>
    <row r="12" spans="1:18" s="22" customFormat="1" ht="13.5" customHeight="1">
      <c r="A12" s="264"/>
      <c r="B12" s="23" t="s">
        <v>45</v>
      </c>
      <c r="C12" s="24">
        <v>38190</v>
      </c>
      <c r="D12" s="24">
        <v>38190</v>
      </c>
      <c r="E12" s="24">
        <v>38190</v>
      </c>
      <c r="F12" s="24">
        <v>38190</v>
      </c>
      <c r="G12" s="24">
        <v>38190</v>
      </c>
      <c r="H12" s="24">
        <v>38190</v>
      </c>
      <c r="I12" s="24">
        <v>38190</v>
      </c>
      <c r="J12" s="24">
        <v>38190</v>
      </c>
      <c r="K12" s="24">
        <v>38190</v>
      </c>
      <c r="L12" s="24">
        <v>38190</v>
      </c>
      <c r="M12" s="24">
        <v>38190</v>
      </c>
      <c r="N12" s="24">
        <v>38190</v>
      </c>
      <c r="O12" s="24">
        <v>38190</v>
      </c>
      <c r="P12" s="24">
        <v>38190</v>
      </c>
      <c r="R12" s="34">
        <f>SUM(C12:K12)</f>
        <v>343710</v>
      </c>
    </row>
    <row r="13" spans="1:18" s="22" customFormat="1" ht="13.5" customHeight="1">
      <c r="A13" s="264"/>
      <c r="B13" s="23" t="s">
        <v>46</v>
      </c>
      <c r="C13" s="24">
        <v>67906</v>
      </c>
      <c r="D13" s="24">
        <v>15000</v>
      </c>
      <c r="E13" s="24">
        <v>414379.76</v>
      </c>
      <c r="F13" s="24">
        <v>5923.19</v>
      </c>
      <c r="G13" s="24">
        <v>0</v>
      </c>
      <c r="H13" s="24">
        <v>265492.96999999997</v>
      </c>
      <c r="I13" s="24">
        <v>110105</v>
      </c>
      <c r="J13" s="24">
        <v>218968</v>
      </c>
      <c r="K13" s="24">
        <v>138362</v>
      </c>
      <c r="L13" s="24">
        <v>192000</v>
      </c>
      <c r="M13" s="24">
        <v>490253</v>
      </c>
      <c r="N13" s="24">
        <v>178000</v>
      </c>
      <c r="O13" s="24">
        <v>45681</v>
      </c>
      <c r="P13" s="24">
        <v>8003164.2000000002</v>
      </c>
      <c r="R13" s="34">
        <f>SUM(C13:K13)</f>
        <v>1236136.92</v>
      </c>
    </row>
    <row r="14" spans="1:18" s="22" customFormat="1" ht="13.5" customHeight="1" thickBot="1">
      <c r="A14" s="265"/>
      <c r="B14" s="32" t="s">
        <v>47</v>
      </c>
      <c r="C14" s="33">
        <f>2419+517900</f>
        <v>520319</v>
      </c>
      <c r="D14" s="33">
        <f>2419+54066.41</f>
        <v>56485.41</v>
      </c>
      <c r="E14" s="33">
        <f>42862.2+1147.72</f>
        <v>44009.919999999998</v>
      </c>
      <c r="F14" s="33">
        <v>2419</v>
      </c>
      <c r="G14" s="33">
        <f>2419+1500</f>
        <v>3919</v>
      </c>
      <c r="H14" s="33">
        <f>18048.92+2419</f>
        <v>20467.919999999998</v>
      </c>
      <c r="I14" s="33">
        <v>468</v>
      </c>
      <c r="J14" s="33">
        <v>2419</v>
      </c>
      <c r="K14" s="33">
        <v>1340</v>
      </c>
      <c r="L14" s="33">
        <v>2419</v>
      </c>
      <c r="M14" s="33">
        <v>2159</v>
      </c>
      <c r="N14" s="33">
        <v>2419</v>
      </c>
      <c r="O14" s="33">
        <f>9844+2419+385418</f>
        <v>397681</v>
      </c>
      <c r="P14" s="33">
        <v>2172.4599999999991</v>
      </c>
      <c r="Q14" s="34"/>
      <c r="R14" s="34">
        <f>SUM(C14:K14)</f>
        <v>651847.25000000012</v>
      </c>
    </row>
    <row r="15" spans="1:18" ht="13.5" customHeight="1">
      <c r="A15" s="266" t="s">
        <v>48</v>
      </c>
      <c r="B15" s="25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6"/>
      <c r="N15" s="26"/>
      <c r="O15" s="26"/>
      <c r="P15" s="28"/>
    </row>
    <row r="16" spans="1:18" ht="13.5" customHeight="1">
      <c r="A16" s="267"/>
      <c r="B16" s="29" t="s">
        <v>49</v>
      </c>
      <c r="C16" s="30">
        <v>299180</v>
      </c>
      <c r="D16" s="30">
        <v>625838</v>
      </c>
      <c r="E16" s="30">
        <v>585681</v>
      </c>
      <c r="F16" s="30">
        <v>338947</v>
      </c>
      <c r="G16" s="30">
        <v>150427</v>
      </c>
      <c r="H16" s="30">
        <v>315249</v>
      </c>
      <c r="I16" s="30">
        <v>123452</v>
      </c>
      <c r="J16" s="30">
        <v>345863</v>
      </c>
      <c r="K16" s="30">
        <v>469868</v>
      </c>
      <c r="L16" s="30">
        <v>226001</v>
      </c>
      <c r="M16" s="18">
        <v>344981</v>
      </c>
      <c r="N16" s="18">
        <v>183079</v>
      </c>
      <c r="O16" s="18">
        <v>252395</v>
      </c>
      <c r="P16" s="19">
        <v>40803</v>
      </c>
    </row>
    <row r="17" spans="1:20" ht="13.5" customHeight="1">
      <c r="A17" s="267"/>
      <c r="B17" s="29" t="s">
        <v>50</v>
      </c>
      <c r="C17" s="30">
        <v>64300</v>
      </c>
      <c r="D17" s="30">
        <v>47415</v>
      </c>
      <c r="E17" s="30">
        <v>52332.09</v>
      </c>
      <c r="F17" s="30">
        <v>22850</v>
      </c>
      <c r="G17" s="30">
        <v>24286</v>
      </c>
      <c r="H17" s="30">
        <v>33033</v>
      </c>
      <c r="I17" s="30">
        <v>54550</v>
      </c>
      <c r="J17" s="30">
        <v>53205</v>
      </c>
      <c r="K17" s="30">
        <v>57893</v>
      </c>
      <c r="L17" s="30">
        <v>76629</v>
      </c>
      <c r="M17" s="18">
        <v>35605</v>
      </c>
      <c r="N17" s="18">
        <v>26970</v>
      </c>
      <c r="O17" s="18">
        <v>0</v>
      </c>
      <c r="P17" s="19">
        <v>12485</v>
      </c>
    </row>
    <row r="18" spans="1:20" ht="13.5" customHeight="1">
      <c r="A18" s="267"/>
      <c r="B18" s="29" t="s">
        <v>51</v>
      </c>
      <c r="C18" s="30">
        <v>222349</v>
      </c>
      <c r="D18" s="30">
        <v>8020</v>
      </c>
      <c r="E18" s="30">
        <v>0</v>
      </c>
      <c r="F18" s="30">
        <v>186325</v>
      </c>
      <c r="G18" s="30">
        <v>103350</v>
      </c>
      <c r="H18" s="30">
        <v>146129</v>
      </c>
      <c r="I18" s="30">
        <v>127935</v>
      </c>
      <c r="J18" s="30">
        <v>129705</v>
      </c>
      <c r="K18" s="30">
        <v>370943</v>
      </c>
      <c r="L18" s="30">
        <v>131072</v>
      </c>
      <c r="M18" s="18">
        <v>145269</v>
      </c>
      <c r="N18" s="18">
        <v>106063</v>
      </c>
      <c r="O18" s="18">
        <v>13220</v>
      </c>
      <c r="P18" s="19">
        <v>22709.53</v>
      </c>
    </row>
    <row r="19" spans="1:20" ht="13.5" customHeight="1">
      <c r="A19" s="267"/>
      <c r="B19" s="29" t="s">
        <v>52</v>
      </c>
      <c r="C19" s="30">
        <v>128439</v>
      </c>
      <c r="D19" s="30">
        <v>135431</v>
      </c>
      <c r="E19" s="30">
        <v>292208.8</v>
      </c>
      <c r="F19" s="30">
        <v>148558.21</v>
      </c>
      <c r="G19" s="30">
        <v>58804</v>
      </c>
      <c r="H19" s="30">
        <v>87779</v>
      </c>
      <c r="I19" s="30">
        <v>71905</v>
      </c>
      <c r="J19" s="30">
        <v>138684</v>
      </c>
      <c r="K19" s="30">
        <v>191396</v>
      </c>
      <c r="L19" s="30">
        <v>90408</v>
      </c>
      <c r="M19" s="18">
        <v>166619</v>
      </c>
      <c r="N19" s="18">
        <v>86298</v>
      </c>
      <c r="O19" s="18">
        <v>109987</v>
      </c>
      <c r="P19" s="19">
        <v>21954.63</v>
      </c>
    </row>
    <row r="20" spans="1:20" ht="13.5" customHeight="1">
      <c r="A20" s="267"/>
      <c r="B20" s="29" t="s">
        <v>53</v>
      </c>
      <c r="C20" s="30">
        <v>13035</v>
      </c>
      <c r="D20" s="30">
        <v>57359</v>
      </c>
      <c r="E20" s="30">
        <v>8895</v>
      </c>
      <c r="F20" s="30">
        <v>13909.53</v>
      </c>
      <c r="G20" s="30">
        <v>13566</v>
      </c>
      <c r="H20" s="30">
        <v>21998</v>
      </c>
      <c r="I20" s="30">
        <v>21278</v>
      </c>
      <c r="J20" s="30">
        <v>18459</v>
      </c>
      <c r="K20" s="30">
        <v>53111</v>
      </c>
      <c r="L20" s="30">
        <v>33481</v>
      </c>
      <c r="M20" s="18">
        <v>31579</v>
      </c>
      <c r="N20" s="18">
        <v>26338</v>
      </c>
      <c r="O20" s="18">
        <v>11457</v>
      </c>
      <c r="P20" s="19">
        <v>4038.63</v>
      </c>
    </row>
    <row r="21" spans="1:20" ht="13.5" customHeight="1">
      <c r="A21" s="267"/>
      <c r="B21" s="29" t="s">
        <v>54</v>
      </c>
      <c r="C21" s="30">
        <v>0</v>
      </c>
      <c r="D21" s="30">
        <v>0</v>
      </c>
      <c r="E21" s="30">
        <v>3385</v>
      </c>
      <c r="F21" s="30">
        <v>0</v>
      </c>
      <c r="G21" s="30">
        <v>0</v>
      </c>
      <c r="H21" s="30">
        <v>0</v>
      </c>
      <c r="I21" s="30">
        <v>1774</v>
      </c>
      <c r="J21" s="30">
        <v>0</v>
      </c>
      <c r="K21" s="30">
        <v>0</v>
      </c>
      <c r="L21" s="30">
        <v>26844</v>
      </c>
      <c r="M21" s="18">
        <v>0</v>
      </c>
      <c r="N21" s="18">
        <v>7094</v>
      </c>
      <c r="O21" s="18">
        <v>0</v>
      </c>
      <c r="P21" s="19">
        <v>0</v>
      </c>
    </row>
    <row r="22" spans="1:20" ht="13.5" customHeight="1">
      <c r="A22" s="267"/>
      <c r="B22" s="29" t="s">
        <v>55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26172</v>
      </c>
      <c r="M22" s="16">
        <v>677464</v>
      </c>
      <c r="N22" s="16">
        <v>0</v>
      </c>
      <c r="O22" s="16">
        <v>0</v>
      </c>
      <c r="P22" s="17">
        <v>0</v>
      </c>
    </row>
    <row r="23" spans="1:20" ht="13.5" customHeight="1">
      <c r="A23" s="267"/>
      <c r="B23" s="29" t="s">
        <v>56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642</v>
      </c>
      <c r="J23" s="30">
        <v>0</v>
      </c>
      <c r="K23" s="30">
        <v>0</v>
      </c>
      <c r="L23" s="30">
        <v>0</v>
      </c>
      <c r="M23" s="18">
        <v>0</v>
      </c>
      <c r="N23" s="18">
        <v>0</v>
      </c>
      <c r="O23" s="18">
        <v>0</v>
      </c>
      <c r="P23" s="19">
        <v>0</v>
      </c>
    </row>
    <row r="24" spans="1:20" ht="13.5" customHeight="1">
      <c r="A24" s="267"/>
      <c r="B24" s="29" t="s">
        <v>57</v>
      </c>
      <c r="C24" s="30">
        <v>14450</v>
      </c>
      <c r="D24" s="30">
        <v>9515</v>
      </c>
      <c r="E24" s="30">
        <v>0</v>
      </c>
      <c r="F24" s="30">
        <v>8390</v>
      </c>
      <c r="G24" s="30">
        <v>0</v>
      </c>
      <c r="H24" s="30">
        <v>0</v>
      </c>
      <c r="I24" s="30">
        <v>0</v>
      </c>
      <c r="J24" s="30">
        <v>66141</v>
      </c>
      <c r="K24" s="30">
        <v>0</v>
      </c>
      <c r="L24" s="30">
        <v>68045</v>
      </c>
      <c r="M24" s="18">
        <v>20905</v>
      </c>
      <c r="N24" s="18">
        <v>0</v>
      </c>
      <c r="O24" s="18">
        <v>0</v>
      </c>
      <c r="P24" s="19">
        <v>0</v>
      </c>
    </row>
    <row r="25" spans="1:20" ht="13.5" customHeight="1">
      <c r="A25" s="267"/>
      <c r="B25" s="29" t="s">
        <v>58</v>
      </c>
      <c r="C25" s="30">
        <v>0</v>
      </c>
      <c r="D25" s="30">
        <v>102158</v>
      </c>
      <c r="E25" s="30">
        <v>0</v>
      </c>
      <c r="F25" s="30">
        <v>0</v>
      </c>
      <c r="G25" s="30">
        <v>0</v>
      </c>
      <c r="H25" s="30">
        <v>0</v>
      </c>
      <c r="I25" s="30">
        <v>6250</v>
      </c>
      <c r="J25" s="30">
        <v>0</v>
      </c>
      <c r="K25" s="30">
        <v>0</v>
      </c>
      <c r="L25" s="30">
        <v>0</v>
      </c>
      <c r="M25" s="18">
        <v>0</v>
      </c>
      <c r="N25" s="18">
        <v>0</v>
      </c>
      <c r="O25" s="18">
        <v>124150</v>
      </c>
      <c r="P25" s="19">
        <v>3040</v>
      </c>
    </row>
    <row r="26" spans="1:20" ht="13.5" customHeight="1">
      <c r="A26" s="267"/>
      <c r="B26" s="29" t="s">
        <v>59</v>
      </c>
      <c r="C26" s="30">
        <v>0</v>
      </c>
      <c r="D26" s="30">
        <v>0</v>
      </c>
      <c r="E26" s="30">
        <v>0</v>
      </c>
      <c r="F26" s="30">
        <v>0</v>
      </c>
      <c r="G26" s="30">
        <v>91932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18">
        <v>0</v>
      </c>
      <c r="N26" s="18">
        <v>0</v>
      </c>
      <c r="O26" s="18">
        <v>81087</v>
      </c>
      <c r="P26" s="19">
        <v>0</v>
      </c>
    </row>
    <row r="27" spans="1:20" ht="13.5" customHeight="1">
      <c r="A27" s="267"/>
      <c r="B27" s="29" t="s">
        <v>60</v>
      </c>
      <c r="C27" s="30">
        <v>209766</v>
      </c>
      <c r="D27" s="30">
        <v>89128</v>
      </c>
      <c r="E27" s="30">
        <v>231751</v>
      </c>
      <c r="F27" s="30">
        <v>140575</v>
      </c>
      <c r="G27" s="30">
        <v>52567</v>
      </c>
      <c r="H27" s="30">
        <v>117545</v>
      </c>
      <c r="I27" s="30">
        <v>64650</v>
      </c>
      <c r="J27" s="30">
        <v>95733</v>
      </c>
      <c r="K27" s="30">
        <v>272467</v>
      </c>
      <c r="L27" s="30">
        <v>0</v>
      </c>
      <c r="M27" s="18">
        <v>501599</v>
      </c>
      <c r="N27" s="18">
        <v>539678</v>
      </c>
      <c r="O27" s="18">
        <v>112689</v>
      </c>
      <c r="P27" s="19">
        <v>35323</v>
      </c>
    </row>
    <row r="28" spans="1:20" ht="13.5" customHeight="1">
      <c r="A28" s="267"/>
      <c r="B28" s="29" t="s">
        <v>148</v>
      </c>
      <c r="C28" s="30">
        <v>27012</v>
      </c>
      <c r="D28" s="30">
        <v>2000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123879</v>
      </c>
      <c r="M28" s="18">
        <v>0</v>
      </c>
      <c r="N28" s="18">
        <v>363105</v>
      </c>
      <c r="O28" s="18">
        <v>573087</v>
      </c>
      <c r="P28" s="19">
        <v>0</v>
      </c>
    </row>
    <row r="29" spans="1:20" ht="13.5" customHeight="1">
      <c r="A29" s="267"/>
      <c r="B29" s="29" t="s">
        <v>62</v>
      </c>
      <c r="C29" s="30">
        <v>535275</v>
      </c>
      <c r="D29" s="30">
        <v>700026</v>
      </c>
      <c r="E29" s="30">
        <v>899960.1</v>
      </c>
      <c r="F29" s="30">
        <v>2001113.07</v>
      </c>
      <c r="G29" s="30">
        <v>661246</v>
      </c>
      <c r="H29" s="30">
        <v>1561139</v>
      </c>
      <c r="I29" s="30">
        <v>747237</v>
      </c>
      <c r="J29" s="30">
        <v>346468</v>
      </c>
      <c r="K29" s="30">
        <v>82627</v>
      </c>
      <c r="L29" s="30">
        <v>495754</v>
      </c>
      <c r="M29" s="18">
        <v>399467</v>
      </c>
      <c r="N29" s="18">
        <v>627357</v>
      </c>
      <c r="O29" s="18">
        <v>208369</v>
      </c>
      <c r="P29" s="19">
        <v>621358.98</v>
      </c>
      <c r="R29" s="34">
        <f>SUM(C29:K29)</f>
        <v>7535091.1699999999</v>
      </c>
    </row>
    <row r="30" spans="1:20" ht="13.5" customHeight="1">
      <c r="A30" s="267"/>
      <c r="B30" s="29" t="s">
        <v>63</v>
      </c>
      <c r="C30" s="30">
        <v>7751</v>
      </c>
      <c r="D30" s="30">
        <v>265</v>
      </c>
      <c r="E30" s="30">
        <v>-24046.13</v>
      </c>
      <c r="F30" s="30">
        <v>10224</v>
      </c>
      <c r="G30" s="30">
        <v>1327</v>
      </c>
      <c r="H30" s="30">
        <v>6062</v>
      </c>
      <c r="I30" s="30">
        <v>22290</v>
      </c>
      <c r="J30" s="30">
        <v>58176</v>
      </c>
      <c r="K30" s="30">
        <v>816</v>
      </c>
      <c r="L30" s="30">
        <v>787</v>
      </c>
      <c r="M30" s="18">
        <v>15209</v>
      </c>
      <c r="N30" s="18">
        <v>-20064</v>
      </c>
      <c r="O30" s="18">
        <v>10</v>
      </c>
      <c r="P30" s="19">
        <v>0</v>
      </c>
      <c r="R30" s="34">
        <f>SUM(C30:K30)</f>
        <v>82864.87</v>
      </c>
    </row>
    <row r="31" spans="1:20" ht="13.5" customHeight="1">
      <c r="A31" s="267"/>
      <c r="B31" s="29" t="s">
        <v>64</v>
      </c>
      <c r="C31" s="31">
        <v>0</v>
      </c>
      <c r="D31" s="31">
        <v>46620</v>
      </c>
      <c r="E31" s="31">
        <v>2828.65</v>
      </c>
      <c r="F31" s="31">
        <v>34515.72</v>
      </c>
      <c r="G31" s="31">
        <v>155</v>
      </c>
      <c r="H31" s="31">
        <v>18720</v>
      </c>
      <c r="I31" s="31">
        <v>6418</v>
      </c>
      <c r="J31" s="31">
        <v>20433</v>
      </c>
      <c r="K31" s="31">
        <v>5823</v>
      </c>
      <c r="L31" s="31">
        <v>3335</v>
      </c>
      <c r="M31" s="16">
        <v>27054</v>
      </c>
      <c r="N31" s="16">
        <v>0</v>
      </c>
      <c r="O31" s="16">
        <v>48241</v>
      </c>
      <c r="P31" s="17">
        <v>317361.8</v>
      </c>
      <c r="R31" s="34">
        <f>SUM(C31:K31)</f>
        <v>135513.37</v>
      </c>
      <c r="S31" s="20">
        <f>SUM(R30:R31)+R9</f>
        <v>218432.58</v>
      </c>
      <c r="T31" s="10" t="s">
        <v>65</v>
      </c>
    </row>
    <row r="32" spans="1:20" s="22" customFormat="1" ht="13.5" customHeight="1" thickBot="1">
      <c r="A32" s="263" t="s">
        <v>66</v>
      </c>
      <c r="B32" s="32"/>
      <c r="C32" s="33">
        <f>SUM(C16:C31)</f>
        <v>1521557</v>
      </c>
      <c r="D32" s="33">
        <f t="shared" ref="D32:O32" si="1">SUM(D16:D31)</f>
        <v>1823775</v>
      </c>
      <c r="E32" s="33">
        <f t="shared" si="1"/>
        <v>2052995.5099999998</v>
      </c>
      <c r="F32" s="33">
        <f t="shared" si="1"/>
        <v>2905407.5300000003</v>
      </c>
      <c r="G32" s="33">
        <f t="shared" si="1"/>
        <v>1157660</v>
      </c>
      <c r="H32" s="33">
        <f t="shared" si="1"/>
        <v>2307654</v>
      </c>
      <c r="I32" s="33">
        <f t="shared" si="1"/>
        <v>1248381</v>
      </c>
      <c r="J32" s="33">
        <f t="shared" si="1"/>
        <v>1272867</v>
      </c>
      <c r="K32" s="33">
        <f t="shared" si="1"/>
        <v>1504944</v>
      </c>
      <c r="L32" s="33">
        <f t="shared" si="1"/>
        <v>1302407</v>
      </c>
      <c r="M32" s="33">
        <f t="shared" si="1"/>
        <v>2365751</v>
      </c>
      <c r="N32" s="33">
        <f t="shared" si="1"/>
        <v>1945918</v>
      </c>
      <c r="O32" s="33">
        <f t="shared" si="1"/>
        <v>1534692</v>
      </c>
      <c r="P32" s="33">
        <f>SUM(P16:P31)</f>
        <v>1079074.57</v>
      </c>
      <c r="Q32" s="34">
        <f>AVERAGE(C32:O32)</f>
        <v>1764923.7723076923</v>
      </c>
      <c r="R32" s="34">
        <f>SUM(C32:K32)+SUM(C12:K14)</f>
        <v>18026935.210000001</v>
      </c>
    </row>
    <row r="33" spans="1:18" ht="13.5" customHeight="1">
      <c r="A33" s="266" t="s">
        <v>68</v>
      </c>
      <c r="B33" s="25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6"/>
      <c r="N33" s="26"/>
      <c r="O33" s="26"/>
      <c r="P33" s="28"/>
    </row>
    <row r="34" spans="1:18" ht="13.5" customHeight="1">
      <c r="A34" s="267"/>
      <c r="B34" s="29" t="s">
        <v>69</v>
      </c>
      <c r="C34" s="30">
        <v>482861</v>
      </c>
      <c r="D34" s="30">
        <v>368866</v>
      </c>
      <c r="E34" s="30">
        <v>496019.86</v>
      </c>
      <c r="F34" s="30">
        <v>510698.4</v>
      </c>
      <c r="G34" s="30">
        <v>347380</v>
      </c>
      <c r="H34" s="30">
        <v>607128</v>
      </c>
      <c r="I34" s="30">
        <v>276437</v>
      </c>
      <c r="J34" s="30">
        <v>317965</v>
      </c>
      <c r="K34" s="30">
        <v>439013</v>
      </c>
      <c r="L34" s="30">
        <v>455027</v>
      </c>
      <c r="M34" s="18">
        <v>365738</v>
      </c>
      <c r="N34" s="18">
        <v>578738</v>
      </c>
      <c r="O34" s="18">
        <v>354526</v>
      </c>
      <c r="P34" s="19">
        <v>878442.58</v>
      </c>
      <c r="R34" s="34">
        <f>SUM(C34:K34)</f>
        <v>3846368.26</v>
      </c>
    </row>
    <row r="35" spans="1:18" ht="13.5" customHeight="1">
      <c r="A35" s="267"/>
      <c r="B35" s="29" t="s">
        <v>70</v>
      </c>
      <c r="C35" s="30">
        <v>586271</v>
      </c>
      <c r="D35" s="30">
        <v>411683</v>
      </c>
      <c r="E35" s="30">
        <v>907833.8</v>
      </c>
      <c r="F35" s="30">
        <v>702277.76</v>
      </c>
      <c r="G35" s="30">
        <v>336467</v>
      </c>
      <c r="H35" s="30">
        <v>1554678</v>
      </c>
      <c r="I35" s="30">
        <v>333834</v>
      </c>
      <c r="J35" s="30">
        <v>381352</v>
      </c>
      <c r="K35" s="30">
        <v>380285</v>
      </c>
      <c r="L35" s="30">
        <v>504147</v>
      </c>
      <c r="M35" s="18">
        <v>415250</v>
      </c>
      <c r="N35" s="18">
        <v>409703</v>
      </c>
      <c r="O35" s="18">
        <v>283644</v>
      </c>
      <c r="P35" s="19">
        <v>128993.35</v>
      </c>
      <c r="R35" s="34">
        <f>SUM(C35:K35)</f>
        <v>5594681.5600000005</v>
      </c>
    </row>
    <row r="36" spans="1:18" ht="13.5" customHeight="1">
      <c r="A36" s="267"/>
      <c r="B36" s="29" t="s">
        <v>71</v>
      </c>
      <c r="C36" s="30">
        <v>31392</v>
      </c>
      <c r="D36" s="30">
        <v>103461</v>
      </c>
      <c r="E36" s="30">
        <v>126242.77</v>
      </c>
      <c r="F36" s="30">
        <v>95825.11</v>
      </c>
      <c r="G36" s="30">
        <v>67142</v>
      </c>
      <c r="H36" s="30">
        <v>61791</v>
      </c>
      <c r="I36" s="30">
        <v>26534</v>
      </c>
      <c r="J36" s="30">
        <v>49058</v>
      </c>
      <c r="K36" s="30">
        <v>35261</v>
      </c>
      <c r="L36" s="30">
        <v>46410</v>
      </c>
      <c r="M36" s="18">
        <v>113555</v>
      </c>
      <c r="N36" s="18">
        <v>50998</v>
      </c>
      <c r="O36" s="18">
        <v>71916</v>
      </c>
      <c r="P36" s="19">
        <v>71533.84</v>
      </c>
    </row>
    <row r="37" spans="1:18" ht="13.5" customHeight="1">
      <c r="A37" s="267"/>
      <c r="B37" s="29" t="s">
        <v>72</v>
      </c>
      <c r="C37" s="30">
        <v>71592</v>
      </c>
      <c r="D37" s="30">
        <v>120867</v>
      </c>
      <c r="E37" s="30">
        <v>104464.51</v>
      </c>
      <c r="F37" s="30">
        <v>181198.94</v>
      </c>
      <c r="G37" s="30">
        <v>95616</v>
      </c>
      <c r="H37" s="30">
        <v>120679</v>
      </c>
      <c r="I37" s="30">
        <v>63090</v>
      </c>
      <c r="J37" s="30">
        <v>106253</v>
      </c>
      <c r="K37" s="30">
        <v>207471</v>
      </c>
      <c r="L37" s="30">
        <v>68042</v>
      </c>
      <c r="M37" s="18">
        <v>116077</v>
      </c>
      <c r="N37" s="18">
        <v>99231</v>
      </c>
      <c r="O37" s="18">
        <v>7955</v>
      </c>
      <c r="P37" s="19">
        <v>0</v>
      </c>
    </row>
    <row r="38" spans="1:18" ht="13.5" customHeight="1">
      <c r="A38" s="267"/>
      <c r="B38" s="29" t="s">
        <v>60</v>
      </c>
      <c r="C38" s="30">
        <v>11130</v>
      </c>
      <c r="D38" s="30">
        <v>14697</v>
      </c>
      <c r="E38" s="30">
        <v>54594.13</v>
      </c>
      <c r="F38" s="30">
        <v>46318.07</v>
      </c>
      <c r="G38" s="30">
        <v>7263</v>
      </c>
      <c r="H38" s="30">
        <v>12576</v>
      </c>
      <c r="I38" s="30">
        <v>7916</v>
      </c>
      <c r="J38" s="30">
        <v>14316</v>
      </c>
      <c r="K38" s="30">
        <v>65626</v>
      </c>
      <c r="L38" s="30">
        <v>34827</v>
      </c>
      <c r="M38" s="18">
        <v>205598</v>
      </c>
      <c r="N38" s="18">
        <v>139206</v>
      </c>
      <c r="O38" s="18">
        <v>375233</v>
      </c>
      <c r="P38" s="19">
        <v>0</v>
      </c>
    </row>
    <row r="39" spans="1:18" ht="13.5" customHeight="1">
      <c r="A39" s="267"/>
      <c r="B39" s="29" t="s">
        <v>73</v>
      </c>
      <c r="C39" s="30">
        <v>305</v>
      </c>
      <c r="D39" s="30">
        <v>42495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40124</v>
      </c>
      <c r="M39" s="18">
        <v>0</v>
      </c>
      <c r="N39" s="18">
        <v>307885</v>
      </c>
      <c r="O39" s="18">
        <v>183037</v>
      </c>
      <c r="P39" s="19">
        <v>30704.75</v>
      </c>
    </row>
    <row r="40" spans="1:18" ht="13.5" customHeight="1">
      <c r="A40" s="267"/>
      <c r="B40" s="29" t="s">
        <v>74</v>
      </c>
      <c r="C40" s="30">
        <v>31317</v>
      </c>
      <c r="D40" s="30">
        <v>48414</v>
      </c>
      <c r="E40" s="30">
        <v>16059.32</v>
      </c>
      <c r="F40" s="30">
        <v>19956.53</v>
      </c>
      <c r="G40" s="30">
        <v>16944</v>
      </c>
      <c r="H40" s="30">
        <v>25084</v>
      </c>
      <c r="I40" s="30">
        <v>17523</v>
      </c>
      <c r="J40" s="30">
        <v>18447</v>
      </c>
      <c r="K40" s="30">
        <v>27443</v>
      </c>
      <c r="L40" s="30">
        <v>13099</v>
      </c>
      <c r="M40" s="18">
        <v>59093</v>
      </c>
      <c r="N40" s="18">
        <v>22660</v>
      </c>
      <c r="O40" s="18">
        <v>2091</v>
      </c>
      <c r="P40" s="19">
        <v>801</v>
      </c>
    </row>
    <row r="41" spans="1:18" ht="13.5" customHeight="1">
      <c r="A41" s="267"/>
      <c r="B41" s="29" t="s">
        <v>53</v>
      </c>
      <c r="C41" s="30">
        <v>97113</v>
      </c>
      <c r="D41" s="30">
        <v>104613</v>
      </c>
      <c r="E41" s="30">
        <v>78385.16</v>
      </c>
      <c r="F41" s="30">
        <v>42699.32</v>
      </c>
      <c r="G41" s="30">
        <v>29942</v>
      </c>
      <c r="H41" s="30">
        <v>71229</v>
      </c>
      <c r="I41" s="30">
        <v>35867</v>
      </c>
      <c r="J41" s="30">
        <v>35467</v>
      </c>
      <c r="K41" s="30">
        <v>74319</v>
      </c>
      <c r="L41" s="30">
        <v>36085</v>
      </c>
      <c r="M41" s="18">
        <v>70928</v>
      </c>
      <c r="N41" s="18">
        <v>42345</v>
      </c>
      <c r="O41" s="18">
        <v>12965</v>
      </c>
      <c r="P41" s="19">
        <v>8078.34</v>
      </c>
    </row>
    <row r="42" spans="1:18" ht="13.5" customHeight="1">
      <c r="A42" s="267"/>
      <c r="B42" s="29" t="s">
        <v>54</v>
      </c>
      <c r="C42" s="30">
        <v>0</v>
      </c>
      <c r="D42" s="30">
        <v>0</v>
      </c>
      <c r="E42" s="30">
        <v>10433.540000000001</v>
      </c>
      <c r="F42" s="30">
        <v>0</v>
      </c>
      <c r="G42" s="30">
        <v>0</v>
      </c>
      <c r="H42" s="30">
        <v>0</v>
      </c>
      <c r="I42" s="30">
        <v>5678</v>
      </c>
      <c r="J42" s="30">
        <v>0</v>
      </c>
      <c r="K42" s="30">
        <v>0</v>
      </c>
      <c r="L42" s="30">
        <v>18857</v>
      </c>
      <c r="M42" s="18">
        <v>0</v>
      </c>
      <c r="N42" s="18">
        <v>6047</v>
      </c>
      <c r="O42" s="18">
        <v>0</v>
      </c>
      <c r="P42" s="19">
        <v>0</v>
      </c>
    </row>
    <row r="43" spans="1:18" ht="13.5" customHeight="1">
      <c r="A43" s="267"/>
      <c r="B43" s="29" t="s">
        <v>55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18">
        <v>720647</v>
      </c>
      <c r="N43" s="18">
        <v>0</v>
      </c>
      <c r="O43" s="18">
        <v>0</v>
      </c>
      <c r="P43" s="19">
        <v>0</v>
      </c>
    </row>
    <row r="44" spans="1:18" ht="13.5" customHeight="1">
      <c r="A44" s="267"/>
      <c r="B44" s="29" t="s">
        <v>56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352</v>
      </c>
      <c r="J44" s="30">
        <v>0</v>
      </c>
      <c r="K44" s="30">
        <v>0</v>
      </c>
      <c r="L44" s="30">
        <v>0</v>
      </c>
      <c r="M44" s="18">
        <v>0</v>
      </c>
      <c r="N44" s="18">
        <v>0</v>
      </c>
      <c r="O44" s="18">
        <v>0</v>
      </c>
      <c r="P44" s="19">
        <v>0</v>
      </c>
    </row>
    <row r="45" spans="1:18" ht="13.5" customHeight="1">
      <c r="A45" s="267"/>
      <c r="B45" s="29" t="s">
        <v>75</v>
      </c>
      <c r="C45" s="30">
        <v>161697</v>
      </c>
      <c r="D45" s="30">
        <v>554148</v>
      </c>
      <c r="E45" s="30">
        <v>144982.87</v>
      </c>
      <c r="F45" s="30">
        <v>447992.85</v>
      </c>
      <c r="G45" s="30">
        <v>87400</v>
      </c>
      <c r="H45" s="30">
        <v>355279</v>
      </c>
      <c r="I45" s="30">
        <v>67220</v>
      </c>
      <c r="J45" s="30">
        <v>125233</v>
      </c>
      <c r="K45" s="30">
        <v>178395</v>
      </c>
      <c r="L45" s="30">
        <v>104529</v>
      </c>
      <c r="M45" s="18">
        <v>112266</v>
      </c>
      <c r="N45" s="18">
        <v>156981</v>
      </c>
      <c r="O45" s="18">
        <v>162960</v>
      </c>
      <c r="P45" s="19">
        <v>67565.649999999994</v>
      </c>
    </row>
    <row r="46" spans="1:18" ht="13.5" customHeight="1">
      <c r="A46" s="267"/>
      <c r="B46" s="29" t="s">
        <v>58</v>
      </c>
      <c r="C46" s="30">
        <v>0</v>
      </c>
      <c r="D46" s="30">
        <v>6760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18">
        <v>0</v>
      </c>
      <c r="N46" s="18">
        <v>0</v>
      </c>
      <c r="O46" s="18">
        <v>44705</v>
      </c>
      <c r="P46" s="19">
        <v>39882.67</v>
      </c>
    </row>
    <row r="47" spans="1:18" ht="13.5" customHeight="1">
      <c r="A47" s="267"/>
      <c r="B47" s="29" t="s">
        <v>76</v>
      </c>
      <c r="C47" s="30">
        <v>0</v>
      </c>
      <c r="D47" s="30">
        <v>198</v>
      </c>
      <c r="E47" s="30">
        <v>37959.15</v>
      </c>
      <c r="F47" s="30">
        <v>0</v>
      </c>
      <c r="G47" s="30">
        <v>147065</v>
      </c>
      <c r="H47" s="30">
        <v>0</v>
      </c>
      <c r="I47" s="30">
        <v>0</v>
      </c>
      <c r="J47" s="30">
        <v>1384</v>
      </c>
      <c r="K47" s="30">
        <v>0</v>
      </c>
      <c r="L47" s="30">
        <v>18897</v>
      </c>
      <c r="M47" s="18">
        <v>169938</v>
      </c>
      <c r="N47" s="18">
        <v>0</v>
      </c>
      <c r="O47" s="18">
        <v>176925</v>
      </c>
      <c r="P47" s="19">
        <v>0</v>
      </c>
    </row>
    <row r="48" spans="1:18" ht="13.5" customHeight="1">
      <c r="A48" s="267"/>
      <c r="B48" s="29" t="s">
        <v>77</v>
      </c>
      <c r="C48" s="30">
        <v>20379</v>
      </c>
      <c r="D48" s="30">
        <v>9663</v>
      </c>
      <c r="E48" s="30">
        <v>22093.99</v>
      </c>
      <c r="F48" s="30">
        <v>39867.14</v>
      </c>
      <c r="G48" s="30">
        <v>188</v>
      </c>
      <c r="H48" s="30">
        <v>10876</v>
      </c>
      <c r="I48" s="30">
        <v>0</v>
      </c>
      <c r="J48" s="30">
        <v>16623</v>
      </c>
      <c r="K48" s="30">
        <v>0</v>
      </c>
      <c r="L48" s="30">
        <v>0</v>
      </c>
      <c r="M48" s="18">
        <v>0</v>
      </c>
      <c r="N48" s="18">
        <v>3468</v>
      </c>
      <c r="O48" s="18">
        <v>2442</v>
      </c>
      <c r="P48" s="19">
        <v>0</v>
      </c>
    </row>
    <row r="49" spans="1:18" ht="13.5" customHeight="1">
      <c r="A49" s="267"/>
      <c r="B49" s="29" t="s">
        <v>78</v>
      </c>
      <c r="C49" s="30">
        <v>15810</v>
      </c>
      <c r="D49" s="30">
        <v>-1737</v>
      </c>
      <c r="E49" s="30">
        <v>20240.310000000001</v>
      </c>
      <c r="F49" s="30">
        <v>6684.01</v>
      </c>
      <c r="G49" s="30">
        <v>-16340</v>
      </c>
      <c r="H49" s="30">
        <v>948</v>
      </c>
      <c r="I49" s="30">
        <v>-121</v>
      </c>
      <c r="J49" s="30">
        <v>4627</v>
      </c>
      <c r="K49" s="30">
        <v>14361</v>
      </c>
      <c r="L49" s="30">
        <v>-1965</v>
      </c>
      <c r="M49" s="18">
        <v>143475</v>
      </c>
      <c r="N49" s="18">
        <v>4784</v>
      </c>
      <c r="O49" s="18">
        <v>140</v>
      </c>
      <c r="P49" s="19">
        <v>0</v>
      </c>
    </row>
    <row r="50" spans="1:18" ht="13.5" customHeight="1">
      <c r="A50" s="267"/>
      <c r="B50" s="29" t="s">
        <v>79</v>
      </c>
      <c r="C50" s="30">
        <v>435</v>
      </c>
      <c r="D50" s="30">
        <v>2394</v>
      </c>
      <c r="E50" s="30">
        <v>-484.75</v>
      </c>
      <c r="F50" s="30">
        <v>201.91</v>
      </c>
      <c r="G50" s="30">
        <v>-193</v>
      </c>
      <c r="H50" s="30">
        <v>-342</v>
      </c>
      <c r="I50" s="30">
        <v>-49</v>
      </c>
      <c r="J50" s="30">
        <v>700</v>
      </c>
      <c r="K50" s="30">
        <v>1020</v>
      </c>
      <c r="L50" s="30">
        <v>296</v>
      </c>
      <c r="M50" s="18">
        <v>1847</v>
      </c>
      <c r="N50" s="18">
        <v>53</v>
      </c>
      <c r="O50" s="18">
        <v>556</v>
      </c>
      <c r="P50" s="19">
        <v>0</v>
      </c>
    </row>
    <row r="51" spans="1:18" ht="13.5" customHeight="1">
      <c r="A51" s="267"/>
      <c r="B51" s="29" t="s">
        <v>80</v>
      </c>
      <c r="C51" s="30">
        <v>0</v>
      </c>
      <c r="D51" s="30">
        <v>0</v>
      </c>
      <c r="E51" s="30">
        <v>0</v>
      </c>
      <c r="F51" s="30">
        <v>54656.85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15</v>
      </c>
      <c r="M51" s="18">
        <v>0</v>
      </c>
      <c r="N51" s="18">
        <v>0</v>
      </c>
      <c r="O51" s="18">
        <v>29615</v>
      </c>
      <c r="P51" s="19">
        <v>476331.55</v>
      </c>
    </row>
    <row r="52" spans="1:18" s="22" customFormat="1" ht="13.5" customHeight="1" thickBot="1">
      <c r="A52" s="263" t="s">
        <v>81</v>
      </c>
      <c r="B52" s="32"/>
      <c r="C52" s="35">
        <f t="shared" ref="C52" si="2">SUM(C34:C51)</f>
        <v>1510302</v>
      </c>
      <c r="D52" s="33">
        <f t="shared" ref="D52:N52" si="3">SUM(D34:D51)</f>
        <v>1786522</v>
      </c>
      <c r="E52" s="33">
        <f t="shared" si="3"/>
        <v>2018824.66</v>
      </c>
      <c r="F52" s="33">
        <f t="shared" si="3"/>
        <v>2148376.89</v>
      </c>
      <c r="G52" s="33">
        <f t="shared" si="3"/>
        <v>1118874</v>
      </c>
      <c r="H52" s="33">
        <f t="shared" si="3"/>
        <v>2819926</v>
      </c>
      <c r="I52" s="33">
        <f t="shared" si="3"/>
        <v>834281</v>
      </c>
      <c r="J52" s="33">
        <f t="shared" si="3"/>
        <v>1071425</v>
      </c>
      <c r="K52" s="33">
        <f t="shared" si="3"/>
        <v>1423194</v>
      </c>
      <c r="L52" s="33">
        <f t="shared" si="3"/>
        <v>1338390</v>
      </c>
      <c r="M52" s="33">
        <f t="shared" si="3"/>
        <v>2494412</v>
      </c>
      <c r="N52" s="33">
        <f t="shared" si="3"/>
        <v>1822099</v>
      </c>
      <c r="O52" s="33">
        <f t="shared" ref="O52" si="4">SUM(O34:O51)</f>
        <v>1708710</v>
      </c>
      <c r="P52" s="33">
        <f>SUM(P34:P51)</f>
        <v>1702333.73</v>
      </c>
      <c r="Q52" s="34">
        <f>AVERAGE(C52:O52)</f>
        <v>1699641.2730769231</v>
      </c>
      <c r="R52" s="34">
        <f>+SUM(C52:K52)+SUM(C54:K54)</f>
        <v>16057199</v>
      </c>
    </row>
    <row r="53" spans="1:18" ht="13.5" customHeight="1">
      <c r="A53" s="266" t="s">
        <v>82</v>
      </c>
      <c r="B53" s="25"/>
      <c r="C53" s="16"/>
      <c r="D53" s="31"/>
      <c r="E53" s="31"/>
      <c r="F53" s="31"/>
      <c r="G53" s="31"/>
      <c r="H53" s="31"/>
      <c r="I53" s="31"/>
      <c r="J53" s="31"/>
      <c r="K53" s="31"/>
      <c r="L53" s="31"/>
      <c r="M53" s="16"/>
      <c r="N53" s="16"/>
      <c r="O53" s="16"/>
      <c r="P53" s="79"/>
    </row>
    <row r="54" spans="1:18" s="22" customFormat="1" ht="13.5" customHeight="1">
      <c r="A54" s="264"/>
      <c r="B54" s="23" t="s">
        <v>83</v>
      </c>
      <c r="C54" s="24">
        <v>214754</v>
      </c>
      <c r="D54" s="24">
        <v>74544.58</v>
      </c>
      <c r="E54" s="24">
        <v>139653.75</v>
      </c>
      <c r="F54" s="24">
        <v>290795.12</v>
      </c>
      <c r="G54" s="24">
        <v>102919</v>
      </c>
      <c r="H54" s="24">
        <v>166046</v>
      </c>
      <c r="I54" s="24">
        <v>161611</v>
      </c>
      <c r="J54" s="24">
        <v>66636</v>
      </c>
      <c r="K54" s="24">
        <v>108514</v>
      </c>
      <c r="L54" s="24">
        <v>118434</v>
      </c>
      <c r="M54" s="24">
        <v>112268</v>
      </c>
      <c r="N54" s="24">
        <v>342427</v>
      </c>
      <c r="O54" s="24">
        <v>116971</v>
      </c>
      <c r="P54" s="24">
        <v>11246</v>
      </c>
      <c r="R54" s="34">
        <f>SUM(C54:K54)</f>
        <v>1325473.45</v>
      </c>
    </row>
    <row r="55" spans="1:18" s="22" customFormat="1" ht="13.5" customHeight="1">
      <c r="A55" s="268"/>
      <c r="B55" s="36" t="s">
        <v>201</v>
      </c>
      <c r="C55" s="24">
        <v>124071</v>
      </c>
      <c r="D55" s="42">
        <v>201588.74</v>
      </c>
      <c r="E55" s="42">
        <v>206029.25</v>
      </c>
      <c r="F55" s="42">
        <v>148831.13</v>
      </c>
      <c r="G55" s="42">
        <v>16105</v>
      </c>
      <c r="H55" s="42">
        <v>130399</v>
      </c>
      <c r="I55" s="42">
        <v>117868</v>
      </c>
      <c r="J55" s="42">
        <v>160461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R55" s="34">
        <f>SUM(C55:K55)</f>
        <v>1105353.1200000001</v>
      </c>
    </row>
    <row r="56" spans="1:18" s="22" customFormat="1" ht="13.5" customHeight="1">
      <c r="A56" s="268"/>
      <c r="B56" s="36" t="s">
        <v>229</v>
      </c>
      <c r="C56" s="24">
        <v>0</v>
      </c>
      <c r="D56" s="42">
        <v>0</v>
      </c>
      <c r="E56" s="42">
        <v>0</v>
      </c>
      <c r="F56" s="42">
        <v>0</v>
      </c>
      <c r="G56" s="42">
        <v>0</v>
      </c>
      <c r="H56" s="42">
        <v>0</v>
      </c>
      <c r="I56" s="42">
        <v>0</v>
      </c>
      <c r="J56" s="42">
        <v>0</v>
      </c>
      <c r="K56" s="42">
        <v>0</v>
      </c>
      <c r="L56" s="42">
        <v>0</v>
      </c>
      <c r="M56" s="42">
        <v>0</v>
      </c>
      <c r="N56" s="42">
        <v>0</v>
      </c>
      <c r="O56" s="42">
        <v>0</v>
      </c>
      <c r="P56" s="42">
        <v>0</v>
      </c>
      <c r="R56" s="34">
        <f>SUM(C56:P56)</f>
        <v>0</v>
      </c>
    </row>
    <row r="57" spans="1:18" s="22" customFormat="1" ht="13.5" customHeight="1">
      <c r="A57" s="241" t="s">
        <v>230</v>
      </c>
      <c r="B57" s="36"/>
      <c r="C57" s="24">
        <f>+C32-C52</f>
        <v>11255</v>
      </c>
      <c r="D57" s="24">
        <f t="shared" ref="D57:F57" si="5">+D32-D52</f>
        <v>37253</v>
      </c>
      <c r="E57" s="24">
        <f t="shared" si="5"/>
        <v>34170.84999999986</v>
      </c>
      <c r="F57" s="24">
        <f t="shared" si="5"/>
        <v>757030.64000000013</v>
      </c>
      <c r="G57" s="24">
        <f t="shared" ref="G57" si="6">+G32-G52</f>
        <v>38786</v>
      </c>
      <c r="H57" s="24">
        <f t="shared" ref="H57:N57" si="7">+H32-H52</f>
        <v>-512272</v>
      </c>
      <c r="I57" s="24">
        <f t="shared" si="7"/>
        <v>414100</v>
      </c>
      <c r="J57" s="24">
        <f t="shared" si="7"/>
        <v>201442</v>
      </c>
      <c r="K57" s="24">
        <f t="shared" si="7"/>
        <v>81750</v>
      </c>
      <c r="L57" s="24">
        <f t="shared" si="7"/>
        <v>-35983</v>
      </c>
      <c r="M57" s="24">
        <f t="shared" si="7"/>
        <v>-128661</v>
      </c>
      <c r="N57" s="24">
        <f t="shared" si="7"/>
        <v>123819</v>
      </c>
      <c r="O57" s="24">
        <f t="shared" ref="O57" si="8">+O32-O52</f>
        <v>-174018</v>
      </c>
      <c r="P57" s="24">
        <f t="shared" ref="P57" si="9">+P32-P52</f>
        <v>-623259.15999999992</v>
      </c>
      <c r="Q57" s="34">
        <f>AVERAGE(C57:P57)</f>
        <v>16100.952142857148</v>
      </c>
    </row>
    <row r="58" spans="1:18" s="22" customFormat="1" ht="13.5" customHeight="1">
      <c r="A58" s="241" t="s">
        <v>239</v>
      </c>
      <c r="B58" s="36"/>
      <c r="C58" s="24">
        <f>+C32-C52-C54</f>
        <v>-203499</v>
      </c>
      <c r="D58" s="24">
        <f t="shared" ref="D58:P58" si="10">+D32-D52-D54</f>
        <v>-37291.58</v>
      </c>
      <c r="E58" s="24">
        <f t="shared" si="10"/>
        <v>-105482.90000000014</v>
      </c>
      <c r="F58" s="24">
        <f t="shared" si="10"/>
        <v>466235.52000000014</v>
      </c>
      <c r="G58" s="24">
        <f t="shared" si="10"/>
        <v>-64133</v>
      </c>
      <c r="H58" s="24">
        <f t="shared" si="10"/>
        <v>-678318</v>
      </c>
      <c r="I58" s="24">
        <f t="shared" si="10"/>
        <v>252489</v>
      </c>
      <c r="J58" s="24">
        <f t="shared" si="10"/>
        <v>134806</v>
      </c>
      <c r="K58" s="24">
        <f t="shared" si="10"/>
        <v>-26764</v>
      </c>
      <c r="L58" s="24">
        <f t="shared" si="10"/>
        <v>-154417</v>
      </c>
      <c r="M58" s="24">
        <f t="shared" si="10"/>
        <v>-240929</v>
      </c>
      <c r="N58" s="24">
        <f t="shared" si="10"/>
        <v>-218608</v>
      </c>
      <c r="O58" s="24">
        <f t="shared" si="10"/>
        <v>-290989</v>
      </c>
      <c r="P58" s="24">
        <f t="shared" si="10"/>
        <v>-634505.15999999992</v>
      </c>
      <c r="Q58" s="34">
        <f>AVERAGE(C58:P58)</f>
        <v>-128671.86571428571</v>
      </c>
    </row>
    <row r="59" spans="1:18" s="22" customFormat="1" ht="13.5" customHeight="1">
      <c r="A59" s="241" t="s">
        <v>231</v>
      </c>
      <c r="B59" s="36"/>
      <c r="C59" s="24">
        <f>+C32-C52-SUM(C54:C56)</f>
        <v>-327570</v>
      </c>
      <c r="D59" s="24">
        <f t="shared" ref="D59:P59" si="11">+D32-D52-SUM(D54:D56)</f>
        <v>-238880.32</v>
      </c>
      <c r="E59" s="24">
        <f t="shared" si="11"/>
        <v>-311512.15000000014</v>
      </c>
      <c r="F59" s="24">
        <f t="shared" si="11"/>
        <v>317404.39000000013</v>
      </c>
      <c r="G59" s="24">
        <f t="shared" si="11"/>
        <v>-80238</v>
      </c>
      <c r="H59" s="24">
        <f t="shared" si="11"/>
        <v>-808717</v>
      </c>
      <c r="I59" s="24">
        <f t="shared" si="11"/>
        <v>134621</v>
      </c>
      <c r="J59" s="24">
        <f t="shared" si="11"/>
        <v>-25655</v>
      </c>
      <c r="K59" s="24">
        <f t="shared" si="11"/>
        <v>-26764</v>
      </c>
      <c r="L59" s="24">
        <f t="shared" si="11"/>
        <v>-154417</v>
      </c>
      <c r="M59" s="24">
        <f t="shared" si="11"/>
        <v>-240929</v>
      </c>
      <c r="N59" s="24">
        <f t="shared" si="11"/>
        <v>-218608</v>
      </c>
      <c r="O59" s="24">
        <f t="shared" si="11"/>
        <v>-290989</v>
      </c>
      <c r="P59" s="24">
        <f t="shared" si="11"/>
        <v>-634505.15999999992</v>
      </c>
      <c r="Q59" s="34">
        <f>AVERAGE(C59:P59)</f>
        <v>-207625.66</v>
      </c>
    </row>
    <row r="60" spans="1:18" s="22" customFormat="1" ht="13.5" customHeight="1">
      <c r="A60" s="241" t="s">
        <v>232</v>
      </c>
      <c r="B60" s="36"/>
      <c r="C60" s="24">
        <f>+C32+SUM(C12:C14)-C52</f>
        <v>637670</v>
      </c>
      <c r="D60" s="24">
        <f t="shared" ref="D60:P60" si="12">+D32+SUM(D12:D14)-D52</f>
        <v>146928.40999999992</v>
      </c>
      <c r="E60" s="24">
        <f t="shared" si="12"/>
        <v>530750.53</v>
      </c>
      <c r="F60" s="24">
        <f t="shared" si="12"/>
        <v>803562.83000000007</v>
      </c>
      <c r="G60" s="24">
        <f t="shared" si="12"/>
        <v>80895</v>
      </c>
      <c r="H60" s="24">
        <f t="shared" si="12"/>
        <v>-188121.10999999987</v>
      </c>
      <c r="I60" s="24">
        <f t="shared" si="12"/>
        <v>562863</v>
      </c>
      <c r="J60" s="24">
        <f t="shared" si="12"/>
        <v>461019</v>
      </c>
      <c r="K60" s="24">
        <f t="shared" si="12"/>
        <v>259642</v>
      </c>
      <c r="L60" s="24">
        <f t="shared" si="12"/>
        <v>196626</v>
      </c>
      <c r="M60" s="24">
        <f t="shared" si="12"/>
        <v>401941</v>
      </c>
      <c r="N60" s="24">
        <f t="shared" si="12"/>
        <v>342428</v>
      </c>
      <c r="O60" s="24">
        <f t="shared" si="12"/>
        <v>307534</v>
      </c>
      <c r="P60" s="24">
        <f t="shared" si="12"/>
        <v>7420267.5</v>
      </c>
      <c r="Q60" s="34">
        <f>AVERAGE(D60:P60)</f>
        <v>871256.62769230769</v>
      </c>
    </row>
    <row r="61" spans="1:18" s="22" customFormat="1" ht="13.5" customHeight="1">
      <c r="A61" s="241" t="s">
        <v>240</v>
      </c>
      <c r="B61" s="36"/>
      <c r="C61" s="24">
        <f>+C32+SUM(C12:C14)-C52-C54</f>
        <v>422916</v>
      </c>
      <c r="D61" s="24">
        <f t="shared" ref="D61:P61" si="13">+D32+SUM(D12:D14)-D52-D54</f>
        <v>72383.829999999914</v>
      </c>
      <c r="E61" s="24">
        <f t="shared" si="13"/>
        <v>391096.78</v>
      </c>
      <c r="F61" s="24">
        <f t="shared" si="13"/>
        <v>512767.71000000008</v>
      </c>
      <c r="G61" s="24">
        <f t="shared" si="13"/>
        <v>-22024</v>
      </c>
      <c r="H61" s="24">
        <f t="shared" si="13"/>
        <v>-354167.10999999987</v>
      </c>
      <c r="I61" s="24">
        <f t="shared" si="13"/>
        <v>401252</v>
      </c>
      <c r="J61" s="24">
        <f t="shared" si="13"/>
        <v>394383</v>
      </c>
      <c r="K61" s="24">
        <f t="shared" si="13"/>
        <v>151128</v>
      </c>
      <c r="L61" s="24">
        <f t="shared" si="13"/>
        <v>78192</v>
      </c>
      <c r="M61" s="24">
        <f t="shared" si="13"/>
        <v>289673</v>
      </c>
      <c r="N61" s="24">
        <f t="shared" si="13"/>
        <v>1</v>
      </c>
      <c r="O61" s="24">
        <f t="shared" si="13"/>
        <v>190563</v>
      </c>
      <c r="P61" s="24">
        <f t="shared" si="13"/>
        <v>7409021.5</v>
      </c>
      <c r="Q61" s="34">
        <f>AVERAGE(D61:P61)</f>
        <v>731866.97769230779</v>
      </c>
    </row>
    <row r="62" spans="1:18" s="22" customFormat="1" ht="13.5" customHeight="1">
      <c r="A62" s="241" t="s">
        <v>233</v>
      </c>
      <c r="B62" s="36"/>
      <c r="C62" s="24">
        <f>+C32+SUM(C12:C14)-C52-SUM(C54:C56)</f>
        <v>298845</v>
      </c>
      <c r="D62" s="24">
        <f t="shared" ref="D62:P62" si="14">+D32+SUM(D12:D14)-D52-SUM(D54:D56)</f>
        <v>-129204.91000000009</v>
      </c>
      <c r="E62" s="24">
        <f t="shared" si="14"/>
        <v>185067.53000000003</v>
      </c>
      <c r="F62" s="24">
        <f t="shared" si="14"/>
        <v>363936.58000000007</v>
      </c>
      <c r="G62" s="24">
        <f t="shared" si="14"/>
        <v>-38129</v>
      </c>
      <c r="H62" s="24">
        <f t="shared" si="14"/>
        <v>-484566.10999999987</v>
      </c>
      <c r="I62" s="24">
        <f t="shared" si="14"/>
        <v>283384</v>
      </c>
      <c r="J62" s="24">
        <f t="shared" si="14"/>
        <v>233922</v>
      </c>
      <c r="K62" s="24">
        <f t="shared" si="14"/>
        <v>151128</v>
      </c>
      <c r="L62" s="24">
        <f t="shared" si="14"/>
        <v>78192</v>
      </c>
      <c r="M62" s="24">
        <f t="shared" si="14"/>
        <v>289673</v>
      </c>
      <c r="N62" s="24">
        <f t="shared" si="14"/>
        <v>1</v>
      </c>
      <c r="O62" s="24">
        <f t="shared" si="14"/>
        <v>190563</v>
      </c>
      <c r="P62" s="24">
        <f t="shared" si="14"/>
        <v>7409021.5</v>
      </c>
      <c r="Q62" s="34">
        <f>AVERAGE(C62:P62)</f>
        <v>630845.25642857142</v>
      </c>
      <c r="R62" s="34">
        <f>SUM(C62:K62)</f>
        <v>864383.09000000008</v>
      </c>
    </row>
    <row r="63" spans="1:18" ht="13.5" customHeight="1">
      <c r="A63" s="262" t="s">
        <v>228</v>
      </c>
      <c r="B63" s="12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7"/>
      <c r="N63" s="37"/>
      <c r="O63" s="37"/>
      <c r="P63" s="38"/>
    </row>
    <row r="64" spans="1:18" ht="13.5" customHeight="1">
      <c r="A64" s="266"/>
      <c r="B64" s="25" t="s">
        <v>40</v>
      </c>
      <c r="C64" s="31">
        <v>1163582</v>
      </c>
      <c r="D64" s="31">
        <v>1527055.37</v>
      </c>
      <c r="E64" s="17">
        <v>239918.53000000003</v>
      </c>
      <c r="F64" s="17">
        <v>3407721.68</v>
      </c>
      <c r="G64" s="17">
        <v>-367141</v>
      </c>
      <c r="H64" s="17">
        <v>-151738</v>
      </c>
      <c r="I64" s="16">
        <v>377973</v>
      </c>
      <c r="J64" s="31">
        <v>840274</v>
      </c>
      <c r="K64" s="16">
        <v>1318789</v>
      </c>
      <c r="L64" s="17">
        <v>450738</v>
      </c>
      <c r="M64" s="16">
        <v>119895</v>
      </c>
      <c r="N64" s="16">
        <v>1117095</v>
      </c>
      <c r="O64" s="16">
        <v>638223.25000000023</v>
      </c>
      <c r="P64" s="17">
        <v>2149780</v>
      </c>
      <c r="Q64" s="95">
        <f>SUM(C64:P64)/13</f>
        <v>987089.67923076928</v>
      </c>
    </row>
    <row r="65" spans="1:17" ht="13.5" customHeight="1">
      <c r="A65" s="266"/>
      <c r="B65" s="25" t="s">
        <v>234</v>
      </c>
      <c r="C65" s="31">
        <v>-571974</v>
      </c>
      <c r="D65" s="31">
        <v>-533572.18999999994</v>
      </c>
      <c r="E65" s="17">
        <v>-548968.15</v>
      </c>
      <c r="F65" s="17">
        <v>-594021.71</v>
      </c>
      <c r="G65" s="17">
        <v>-279807</v>
      </c>
      <c r="H65" s="17">
        <v>-861587</v>
      </c>
      <c r="I65" s="16">
        <v>-582950</v>
      </c>
      <c r="J65" s="31">
        <v>-570347</v>
      </c>
      <c r="K65" s="16">
        <v>-384225</v>
      </c>
      <c r="L65" s="17">
        <v>0</v>
      </c>
      <c r="M65" s="16">
        <v>0</v>
      </c>
      <c r="N65" s="16">
        <v>0</v>
      </c>
      <c r="O65" s="16">
        <v>-297653</v>
      </c>
      <c r="P65" s="17">
        <v>0</v>
      </c>
      <c r="Q65" s="95"/>
    </row>
    <row r="66" spans="1:17" ht="13.5" customHeight="1">
      <c r="A66" s="266"/>
      <c r="B66" s="25" t="s">
        <v>41</v>
      </c>
      <c r="C66" s="31">
        <v>0</v>
      </c>
      <c r="D66" s="31">
        <v>0</v>
      </c>
      <c r="E66" s="17">
        <v>0</v>
      </c>
      <c r="F66" s="17">
        <v>0</v>
      </c>
      <c r="G66" s="17">
        <v>0</v>
      </c>
      <c r="H66" s="17">
        <v>0</v>
      </c>
      <c r="I66" s="16">
        <v>0</v>
      </c>
      <c r="J66" s="31">
        <v>0</v>
      </c>
      <c r="K66" s="16">
        <v>0</v>
      </c>
      <c r="L66" s="17">
        <v>0</v>
      </c>
      <c r="M66" s="16">
        <v>0</v>
      </c>
      <c r="N66" s="16">
        <v>0</v>
      </c>
      <c r="O66" s="16">
        <v>-52578</v>
      </c>
      <c r="P66" s="17">
        <v>0</v>
      </c>
      <c r="Q66" s="20">
        <f>MAX(C64:O64)</f>
        <v>3407721.68</v>
      </c>
    </row>
    <row r="67" spans="1:17" s="40" customFormat="1" ht="13.5" customHeight="1">
      <c r="A67" s="266"/>
      <c r="B67" s="25" t="s">
        <v>42</v>
      </c>
      <c r="C67" s="31">
        <v>2695727</v>
      </c>
      <c r="D67" s="31">
        <v>965794.08</v>
      </c>
      <c r="E67" s="17">
        <v>2287454.9499999997</v>
      </c>
      <c r="F67" s="17">
        <v>5983506.0099999998</v>
      </c>
      <c r="G67" s="17">
        <v>1868529</v>
      </c>
      <c r="H67" s="17">
        <v>3491511.9300000006</v>
      </c>
      <c r="I67" s="16">
        <v>2471349</v>
      </c>
      <c r="J67" s="31">
        <v>914808</v>
      </c>
      <c r="K67" s="16">
        <v>1326746</v>
      </c>
      <c r="L67" s="17">
        <v>1496594</v>
      </c>
      <c r="M67" s="16">
        <v>1478948</v>
      </c>
      <c r="N67" s="16">
        <v>5492267</v>
      </c>
      <c r="O67" s="16">
        <v>1190041.0399999998</v>
      </c>
      <c r="P67" s="17">
        <v>12195901</v>
      </c>
      <c r="Q67" s="100">
        <f>MIN(C64:O64)</f>
        <v>-367141</v>
      </c>
    </row>
    <row r="68" spans="1:17" s="22" customFormat="1" ht="13.5" customHeight="1">
      <c r="A68" s="241"/>
      <c r="B68" s="41" t="s">
        <v>43</v>
      </c>
      <c r="C68" s="57">
        <f t="shared" ref="C68:N68" si="15">SUM(C64:C67)</f>
        <v>3287335</v>
      </c>
      <c r="D68" s="57">
        <f t="shared" si="15"/>
        <v>1959277.2600000002</v>
      </c>
      <c r="E68" s="57">
        <f t="shared" si="15"/>
        <v>1978405.3299999996</v>
      </c>
      <c r="F68" s="57">
        <f t="shared" si="15"/>
        <v>8797205.9800000004</v>
      </c>
      <c r="G68" s="57">
        <f t="shared" ref="G68" si="16">SUM(G64:G67)</f>
        <v>1221581</v>
      </c>
      <c r="H68" s="57">
        <f t="shared" si="15"/>
        <v>2478186.9300000006</v>
      </c>
      <c r="I68" s="57">
        <f t="shared" si="15"/>
        <v>2266372</v>
      </c>
      <c r="J68" s="57">
        <f t="shared" si="15"/>
        <v>1184735</v>
      </c>
      <c r="K68" s="57">
        <f t="shared" si="15"/>
        <v>2261310</v>
      </c>
      <c r="L68" s="57">
        <f t="shared" si="15"/>
        <v>1947332</v>
      </c>
      <c r="M68" s="57">
        <f t="shared" si="15"/>
        <v>1598843</v>
      </c>
      <c r="N68" s="57">
        <f t="shared" si="15"/>
        <v>6609362</v>
      </c>
      <c r="O68" s="57">
        <f t="shared" ref="O68" si="17">SUM(O64:O67)</f>
        <v>1478033.29</v>
      </c>
      <c r="P68" s="57">
        <f>SUM(P64:P67)</f>
        <v>14345681</v>
      </c>
    </row>
    <row r="69" spans="1:17" s="202" customFormat="1" ht="13.5" customHeight="1">
      <c r="A69" s="276" t="s">
        <v>84</v>
      </c>
      <c r="B69" s="276"/>
      <c r="C69" s="280">
        <f>C64/(C52)</f>
        <v>0.77043001995627369</v>
      </c>
      <c r="D69" s="280">
        <f t="shared" ref="D69:N69" si="18">D64/(D52)</f>
        <v>0.854764380175559</v>
      </c>
      <c r="E69" s="280">
        <f t="shared" si="18"/>
        <v>0.11884069714107813</v>
      </c>
      <c r="F69" s="280">
        <f t="shared" si="18"/>
        <v>1.5861842937623483</v>
      </c>
      <c r="G69" s="280">
        <f t="shared" ref="G69" si="19">G64/(G52)</f>
        <v>-0.32813435650484324</v>
      </c>
      <c r="H69" s="280">
        <f>H64/(H52)</f>
        <v>-5.3809213433260304E-2</v>
      </c>
      <c r="I69" s="280">
        <f t="shared" si="18"/>
        <v>0.45305238882343002</v>
      </c>
      <c r="J69" s="280">
        <f t="shared" si="18"/>
        <v>0.78425834752782508</v>
      </c>
      <c r="K69" s="280">
        <f t="shared" si="18"/>
        <v>0.9266403596417635</v>
      </c>
      <c r="L69" s="280">
        <f t="shared" si="18"/>
        <v>0.33677627597337101</v>
      </c>
      <c r="M69" s="280">
        <f t="shared" si="18"/>
        <v>4.8065435862239277E-2</v>
      </c>
      <c r="N69" s="280">
        <f t="shared" si="18"/>
        <v>0.6130813967846972</v>
      </c>
      <c r="O69" s="280">
        <f t="shared" ref="O69" si="20">O64/(O52)</f>
        <v>0.37351174277671473</v>
      </c>
      <c r="P69" s="280">
        <f>P64/(P52)</f>
        <v>1.2628428621924797</v>
      </c>
      <c r="Q69" s="203">
        <f>AVERAGE(C69:O69)</f>
        <v>0.49874321296055341</v>
      </c>
    </row>
    <row r="70" spans="1:17" s="104" customFormat="1">
      <c r="A70" s="69"/>
      <c r="B70" s="199" t="s">
        <v>85</v>
      </c>
      <c r="C70" s="139">
        <f t="shared" ref="C70:O70" si="21">+C10+C12+C13+C14+C32-C52-C54-C68-C55-C56</f>
        <v>0</v>
      </c>
      <c r="D70" s="139">
        <f t="shared" si="21"/>
        <v>0.38999999989755452</v>
      </c>
      <c r="E70" s="83">
        <f t="shared" si="21"/>
        <v>4.6566128730773926E-10</v>
      </c>
      <c r="F70" s="83">
        <f t="shared" si="21"/>
        <v>8.149072527885437E-10</v>
      </c>
      <c r="G70" s="83">
        <f t="shared" si="21"/>
        <v>2</v>
      </c>
      <c r="H70" s="83">
        <f t="shared" si="21"/>
        <v>0.95999999903142452</v>
      </c>
      <c r="I70" s="83">
        <f t="shared" si="21"/>
        <v>0</v>
      </c>
      <c r="J70" s="83">
        <f t="shared" si="21"/>
        <v>4</v>
      </c>
      <c r="K70" s="83">
        <f t="shared" si="21"/>
        <v>-1</v>
      </c>
      <c r="L70" s="83">
        <f t="shared" si="21"/>
        <v>-2</v>
      </c>
      <c r="M70" s="83">
        <f t="shared" si="21"/>
        <v>0</v>
      </c>
      <c r="N70" s="83">
        <f t="shared" si="21"/>
        <v>27</v>
      </c>
      <c r="O70" s="83">
        <f t="shared" si="21"/>
        <v>-1.2900000000372529</v>
      </c>
      <c r="P70" s="83">
        <f>+P10+P12+P13+P14+P32-P52-P54-P68-P55-P56</f>
        <v>0</v>
      </c>
      <c r="Q70" s="200">
        <f>MAX(C69:O69)</f>
        <v>1.5861842937623483</v>
      </c>
    </row>
    <row r="71" spans="1:17" s="85" customFormat="1">
      <c r="A71" s="146"/>
      <c r="B71" s="147"/>
      <c r="C71" s="139">
        <f t="shared" ref="C71:P71" si="22">+C10+C62-C68</f>
        <v>0</v>
      </c>
      <c r="D71" s="139">
        <f t="shared" si="22"/>
        <v>0.38999999966472387</v>
      </c>
      <c r="E71" s="83">
        <f t="shared" si="22"/>
        <v>0</v>
      </c>
      <c r="F71" s="83">
        <f t="shared" si="22"/>
        <v>0</v>
      </c>
      <c r="G71" s="83">
        <f t="shared" si="22"/>
        <v>2</v>
      </c>
      <c r="H71" s="83">
        <f>+H10+H62-H68</f>
        <v>0.95999999949708581</v>
      </c>
      <c r="I71" s="83">
        <f t="shared" si="22"/>
        <v>0</v>
      </c>
      <c r="J71" s="83">
        <f t="shared" si="22"/>
        <v>4</v>
      </c>
      <c r="K71" s="83">
        <f t="shared" si="22"/>
        <v>-1</v>
      </c>
      <c r="L71" s="83">
        <f t="shared" si="22"/>
        <v>-2</v>
      </c>
      <c r="M71" s="83">
        <f t="shared" si="22"/>
        <v>0</v>
      </c>
      <c r="N71" s="83">
        <f t="shared" si="22"/>
        <v>27</v>
      </c>
      <c r="O71" s="83">
        <f t="shared" si="22"/>
        <v>-1.2900000000372529</v>
      </c>
      <c r="P71" s="83">
        <f t="shared" si="22"/>
        <v>0</v>
      </c>
      <c r="Q71" s="84"/>
    </row>
    <row r="72" spans="1:17" s="85" customFormat="1" ht="13.5" customHeight="1">
      <c r="A72" s="146"/>
      <c r="B72" s="147"/>
      <c r="C72" s="139"/>
      <c r="D72" s="139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4"/>
    </row>
    <row r="73" spans="1:17" s="40" customFormat="1" ht="13.5" customHeight="1">
      <c r="A73" s="180" t="s">
        <v>195</v>
      </c>
      <c r="B73" s="134"/>
      <c r="C73" s="134"/>
      <c r="D73" s="13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83"/>
      <c r="Q73" s="103"/>
    </row>
    <row r="74" spans="1:17" s="40" customFormat="1" ht="13.5" customHeight="1">
      <c r="A74" s="177" t="s">
        <v>196</v>
      </c>
      <c r="B74" s="134"/>
      <c r="C74" s="134"/>
      <c r="D74" s="13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48"/>
      <c r="Q74" s="103"/>
    </row>
    <row r="75" spans="1:17" s="40" customFormat="1" ht="13.5" customHeight="1">
      <c r="A75" s="178" t="s">
        <v>86</v>
      </c>
      <c r="B75" s="134"/>
      <c r="C75" s="134"/>
      <c r="D75" s="13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48"/>
      <c r="Q75" s="103"/>
    </row>
    <row r="76" spans="1:17" s="40" customFormat="1" ht="13.5" customHeight="1">
      <c r="A76" s="179"/>
      <c r="B76" s="52"/>
      <c r="C76" s="52"/>
      <c r="D76" s="52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48"/>
      <c r="Q76" s="103"/>
    </row>
    <row r="77" spans="1:17" s="40" customFormat="1" ht="13.5" customHeight="1">
      <c r="A77" s="177" t="s">
        <v>197</v>
      </c>
      <c r="B77" s="134"/>
      <c r="C77" s="134"/>
      <c r="D77" s="13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48"/>
      <c r="Q77" s="103"/>
    </row>
    <row r="78" spans="1:17" s="40" customFormat="1" ht="13.5" customHeight="1">
      <c r="A78" s="177" t="s">
        <v>87</v>
      </c>
      <c r="B78" s="134"/>
      <c r="C78" s="134"/>
      <c r="D78" s="13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48"/>
      <c r="Q78" s="103"/>
    </row>
    <row r="79" spans="1:17" ht="12.75" customHeight="1">
      <c r="A79" s="177" t="s">
        <v>88</v>
      </c>
      <c r="B79" s="6"/>
      <c r="C79" s="142"/>
      <c r="D79" s="142"/>
      <c r="E79" s="48"/>
      <c r="F79" s="48"/>
      <c r="G79" s="48"/>
      <c r="H79" s="48"/>
      <c r="I79" s="48"/>
      <c r="J79" s="48"/>
      <c r="K79" s="48"/>
      <c r="L79" s="48"/>
      <c r="M79" s="48"/>
    </row>
    <row r="80" spans="1:17">
      <c r="A80" s="143"/>
      <c r="B80" s="143"/>
      <c r="C80" s="143"/>
      <c r="D80" s="143"/>
      <c r="E80" s="48"/>
      <c r="F80" s="48"/>
      <c r="G80" s="48"/>
      <c r="H80" s="48"/>
      <c r="I80" s="48"/>
      <c r="J80" s="48"/>
      <c r="K80" s="48"/>
      <c r="L80" s="48"/>
      <c r="M80" s="48"/>
    </row>
    <row r="81" spans="1:18">
      <c r="A81" s="343"/>
      <c r="B81" s="344"/>
      <c r="C81" s="260"/>
      <c r="D81" s="260"/>
      <c r="E81" s="260"/>
      <c r="F81" s="260"/>
      <c r="G81" s="260"/>
      <c r="H81" s="260"/>
      <c r="I81" s="260"/>
      <c r="J81" s="260"/>
      <c r="K81" s="260"/>
      <c r="L81" s="260"/>
      <c r="M81" s="260"/>
      <c r="N81" s="260"/>
      <c r="O81" s="260"/>
      <c r="P81" s="260"/>
    </row>
    <row r="82" spans="1:18" ht="72.75" customHeight="1">
      <c r="A82" s="345"/>
      <c r="B82" s="346"/>
      <c r="C82" s="256" t="str">
        <f t="shared" ref="C82:P82" si="23">C2</f>
        <v>3rd DAA,     Silver Dollar Fair</v>
      </c>
      <c r="D82" s="256" t="str">
        <f t="shared" si="23"/>
        <v>4th DAA, Sonoma Marin Fair</v>
      </c>
      <c r="E82" s="256" t="str">
        <f t="shared" si="23"/>
        <v>14th DAA,     Santa Cruz County Fair</v>
      </c>
      <c r="F82" s="256" t="str">
        <f t="shared" si="23"/>
        <v>21-A DAA, Madera District Fair</v>
      </c>
      <c r="G82" s="256" t="str">
        <f t="shared" si="23"/>
        <v>23rd DAA, Contra Costa County Fair</v>
      </c>
      <c r="H82" s="256" t="str">
        <f t="shared" si="23"/>
        <v>25th DAA,     Napa Town &amp; Country Fair</v>
      </c>
      <c r="I82" s="256" t="str">
        <f t="shared" si="23"/>
        <v>27th DAA, Shasta District Fair</v>
      </c>
      <c r="J82" s="256" t="str">
        <f t="shared" si="23"/>
        <v>36th DAA,    Dixon May Fair</v>
      </c>
      <c r="K82" s="256" t="str">
        <f t="shared" si="23"/>
        <v>45th DAA, California Mid- Winter Fair</v>
      </c>
      <c r="L82" s="256" t="str">
        <f t="shared" si="23"/>
        <v>El Dorado County Fair</v>
      </c>
      <c r="M82" s="256" t="str">
        <f t="shared" si="23"/>
        <v>Humboldt County Fair</v>
      </c>
      <c r="N82" s="256" t="str">
        <f t="shared" si="23"/>
        <v>Salinas Valley Fair</v>
      </c>
      <c r="O82" s="256" t="str">
        <f t="shared" si="23"/>
        <v>Napa County Fair</v>
      </c>
      <c r="P82" s="297" t="str">
        <f t="shared" si="23"/>
        <v>Placer County Fair</v>
      </c>
    </row>
    <row r="83" spans="1:18" ht="13.5" customHeight="1">
      <c r="A83" s="262" t="s">
        <v>89</v>
      </c>
      <c r="B83" s="29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3"/>
      <c r="N83" s="53"/>
      <c r="O83" s="53"/>
      <c r="P83" s="55"/>
    </row>
    <row r="84" spans="1:18" ht="13.5" customHeight="1">
      <c r="A84" s="262" t="s">
        <v>90</v>
      </c>
      <c r="B84" s="29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3"/>
      <c r="N84" s="53"/>
      <c r="O84" s="53"/>
      <c r="P84" s="55"/>
    </row>
    <row r="85" spans="1:18" ht="13.5" customHeight="1">
      <c r="A85" s="267"/>
      <c r="B85" s="29" t="s">
        <v>91</v>
      </c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18"/>
      <c r="N85" s="18"/>
      <c r="O85" s="18"/>
      <c r="P85" s="19"/>
    </row>
    <row r="86" spans="1:18" ht="13.5" customHeight="1">
      <c r="A86" s="267"/>
      <c r="B86" s="29" t="s">
        <v>92</v>
      </c>
      <c r="C86" s="14">
        <v>0</v>
      </c>
      <c r="D86" s="14">
        <v>0</v>
      </c>
      <c r="E86" s="14">
        <v>100681.13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167153</v>
      </c>
      <c r="M86" s="13">
        <v>0</v>
      </c>
      <c r="N86" s="13">
        <v>0</v>
      </c>
      <c r="O86" s="13">
        <v>0</v>
      </c>
      <c r="P86" s="15">
        <v>0</v>
      </c>
      <c r="R86" s="56">
        <f t="shared" ref="R86:R93" si="24">SUM(C86:K86)</f>
        <v>100681.13</v>
      </c>
    </row>
    <row r="87" spans="1:18" ht="13.5" customHeight="1">
      <c r="A87" s="267"/>
      <c r="B87" s="29" t="s">
        <v>93</v>
      </c>
      <c r="C87" s="30">
        <v>706247</v>
      </c>
      <c r="D87" s="30">
        <v>1689820</v>
      </c>
      <c r="E87" s="30">
        <f>268200.26+13998.53</f>
        <v>282198.79000000004</v>
      </c>
      <c r="F87" s="30">
        <v>2565048.31</v>
      </c>
      <c r="G87" s="30">
        <v>-15917</v>
      </c>
      <c r="H87" s="30">
        <v>168840.78999999998</v>
      </c>
      <c r="I87" s="14">
        <v>510142</v>
      </c>
      <c r="J87" s="30">
        <f>1053997+2620</f>
        <v>1056617</v>
      </c>
      <c r="K87" s="30">
        <v>1519980</v>
      </c>
      <c r="L87" s="30">
        <v>389354</v>
      </c>
      <c r="M87" s="18">
        <v>467479</v>
      </c>
      <c r="N87" s="18">
        <v>1012148</v>
      </c>
      <c r="O87" s="18">
        <v>548366.59</v>
      </c>
      <c r="P87" s="19">
        <v>2886839</v>
      </c>
      <c r="R87" s="56">
        <f t="shared" si="24"/>
        <v>8482976.8900000006</v>
      </c>
    </row>
    <row r="88" spans="1:18" ht="13.5" customHeight="1">
      <c r="A88" s="267"/>
      <c r="B88" s="29" t="s">
        <v>94</v>
      </c>
      <c r="C88" s="30">
        <v>566720</v>
      </c>
      <c r="D88" s="30">
        <v>88604</v>
      </c>
      <c r="E88" s="30">
        <f>18834.57+13018.87</f>
        <v>31853.440000000002</v>
      </c>
      <c r="F88" s="30">
        <v>1122326.8999999999</v>
      </c>
      <c r="G88" s="30">
        <v>27597</v>
      </c>
      <c r="H88" s="30">
        <v>314427.84999999998</v>
      </c>
      <c r="I88" s="14">
        <v>115229</v>
      </c>
      <c r="J88" s="30">
        <f>33072+1023</f>
        <v>34095</v>
      </c>
      <c r="K88" s="30">
        <v>168285</v>
      </c>
      <c r="L88" s="30">
        <v>-499</v>
      </c>
      <c r="M88" s="18">
        <v>138608</v>
      </c>
      <c r="N88" s="18">
        <v>167328</v>
      </c>
      <c r="O88" s="18">
        <v>148682</v>
      </c>
      <c r="P88" s="19">
        <v>48210</v>
      </c>
      <c r="R88" s="56">
        <f t="shared" si="24"/>
        <v>2469138.19</v>
      </c>
    </row>
    <row r="89" spans="1:18" ht="13.5" customHeight="1">
      <c r="A89" s="267"/>
      <c r="B89" s="29" t="s">
        <v>95</v>
      </c>
      <c r="C89" s="30">
        <v>0</v>
      </c>
      <c r="D89" s="30">
        <v>19861</v>
      </c>
      <c r="E89" s="30">
        <v>7900.11</v>
      </c>
      <c r="F89" s="30">
        <v>4467.22</v>
      </c>
      <c r="G89" s="30">
        <v>10235</v>
      </c>
      <c r="H89" s="30">
        <v>23202.38</v>
      </c>
      <c r="I89" s="30">
        <v>0</v>
      </c>
      <c r="J89" s="30">
        <v>11329</v>
      </c>
      <c r="K89" s="30">
        <v>17709</v>
      </c>
      <c r="L89" s="30">
        <v>12144</v>
      </c>
      <c r="M89" s="18">
        <v>0</v>
      </c>
      <c r="N89" s="18">
        <v>0</v>
      </c>
      <c r="O89" s="18">
        <v>13382</v>
      </c>
      <c r="P89" s="19">
        <v>0</v>
      </c>
      <c r="R89" s="56">
        <f t="shared" si="24"/>
        <v>94703.71</v>
      </c>
    </row>
    <row r="90" spans="1:18" ht="13.5" customHeight="1">
      <c r="A90" s="267"/>
      <c r="B90" s="29" t="s">
        <v>96</v>
      </c>
      <c r="C90" s="30">
        <v>0</v>
      </c>
      <c r="D90" s="30">
        <v>848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18">
        <v>3762</v>
      </c>
      <c r="N90" s="18">
        <v>7202</v>
      </c>
      <c r="O90" s="18">
        <v>4251</v>
      </c>
      <c r="P90" s="19">
        <v>34251</v>
      </c>
      <c r="R90" s="56">
        <f t="shared" si="24"/>
        <v>848</v>
      </c>
    </row>
    <row r="91" spans="1:18" ht="13.5" customHeight="1">
      <c r="A91" s="267"/>
      <c r="B91" s="29" t="s">
        <v>149</v>
      </c>
      <c r="C91" s="30">
        <v>0</v>
      </c>
      <c r="D91" s="30">
        <v>102563</v>
      </c>
      <c r="E91" s="30">
        <v>35821.629999999997</v>
      </c>
      <c r="F91" s="30">
        <v>139243.39000000001</v>
      </c>
      <c r="G91" s="30">
        <v>292056</v>
      </c>
      <c r="H91" s="30">
        <v>0</v>
      </c>
      <c r="I91" s="296">
        <v>128104</v>
      </c>
      <c r="J91" s="30">
        <v>0</v>
      </c>
      <c r="K91" s="30">
        <v>0</v>
      </c>
      <c r="L91" s="30">
        <v>13465</v>
      </c>
      <c r="M91" s="18">
        <v>8218</v>
      </c>
      <c r="N91" s="18">
        <v>0</v>
      </c>
      <c r="O91" s="18">
        <v>5741</v>
      </c>
      <c r="P91" s="19">
        <v>12156717</v>
      </c>
      <c r="R91" s="20">
        <f t="shared" si="24"/>
        <v>697788.02</v>
      </c>
    </row>
    <row r="92" spans="1:18" ht="13.5" customHeight="1">
      <c r="A92" s="267"/>
      <c r="B92" s="29" t="s">
        <v>98</v>
      </c>
      <c r="C92" s="30">
        <v>15523</v>
      </c>
      <c r="D92" s="30">
        <v>0</v>
      </c>
      <c r="E92" s="30">
        <v>8500</v>
      </c>
      <c r="F92" s="30">
        <v>1816740.3</v>
      </c>
      <c r="G92" s="30">
        <v>97504</v>
      </c>
      <c r="H92" s="30">
        <v>231900</v>
      </c>
      <c r="I92" s="296">
        <v>111973</v>
      </c>
      <c r="J92" s="30">
        <v>35602</v>
      </c>
      <c r="K92" s="30">
        <v>0</v>
      </c>
      <c r="L92" s="30">
        <v>90987</v>
      </c>
      <c r="M92" s="18">
        <v>0</v>
      </c>
      <c r="N92" s="18">
        <v>0</v>
      </c>
      <c r="O92" s="18">
        <v>0</v>
      </c>
      <c r="P92" s="19">
        <v>0</v>
      </c>
      <c r="R92" s="10">
        <f t="shared" si="24"/>
        <v>2317742.2999999998</v>
      </c>
    </row>
    <row r="93" spans="1:18" ht="13.5" customHeight="1">
      <c r="A93" s="267"/>
      <c r="B93" s="29" t="s">
        <v>99</v>
      </c>
      <c r="C93" s="30">
        <v>8456197</v>
      </c>
      <c r="D93" s="30">
        <v>4569589</v>
      </c>
      <c r="E93" s="30">
        <v>5260036.95</v>
      </c>
      <c r="F93" s="30">
        <v>7078084.5899999999</v>
      </c>
      <c r="G93" s="30">
        <v>3851803</v>
      </c>
      <c r="H93" s="30">
        <v>6282665.9800000004</v>
      </c>
      <c r="I93" s="296">
        <v>6842809</v>
      </c>
      <c r="J93" s="30">
        <v>3432104</v>
      </c>
      <c r="K93" s="30">
        <v>0</v>
      </c>
      <c r="L93" s="30">
        <v>4908985</v>
      </c>
      <c r="M93" s="18">
        <v>4459451</v>
      </c>
      <c r="N93" s="18">
        <v>8910687</v>
      </c>
      <c r="O93" s="18">
        <v>824298</v>
      </c>
      <c r="P93" s="19">
        <v>0</v>
      </c>
      <c r="R93" s="10">
        <f t="shared" si="24"/>
        <v>45773289.519999996</v>
      </c>
    </row>
    <row r="94" spans="1:18" ht="13.5" customHeight="1">
      <c r="A94" s="267"/>
      <c r="B94" s="29" t="s">
        <v>100</v>
      </c>
      <c r="C94" s="30">
        <v>426060</v>
      </c>
      <c r="D94" s="30">
        <v>267261</v>
      </c>
      <c r="E94" s="30">
        <v>294651.52000000002</v>
      </c>
      <c r="F94" s="30">
        <v>423936.28</v>
      </c>
      <c r="G94" s="30">
        <v>212992</v>
      </c>
      <c r="H94" s="30">
        <v>1063958.8600000001</v>
      </c>
      <c r="I94" s="296">
        <v>266624</v>
      </c>
      <c r="J94" s="30">
        <v>196166</v>
      </c>
      <c r="K94" s="30">
        <v>317556</v>
      </c>
      <c r="L94" s="30">
        <v>174489</v>
      </c>
      <c r="M94" s="18">
        <v>242422</v>
      </c>
      <c r="N94" s="18">
        <v>547288</v>
      </c>
      <c r="O94" s="18">
        <v>174988</v>
      </c>
      <c r="P94" s="19">
        <v>48814</v>
      </c>
    </row>
    <row r="95" spans="1:18" ht="13.5" customHeight="1">
      <c r="A95" s="267"/>
      <c r="B95" s="29" t="s">
        <v>101</v>
      </c>
      <c r="C95" s="30">
        <v>0</v>
      </c>
      <c r="D95" s="30">
        <v>0</v>
      </c>
      <c r="E95" s="30">
        <v>0</v>
      </c>
      <c r="F95" s="30">
        <v>0</v>
      </c>
      <c r="G95" s="30">
        <v>740573</v>
      </c>
      <c r="H95" s="30">
        <v>0</v>
      </c>
      <c r="I95" s="296">
        <v>0</v>
      </c>
      <c r="J95" s="30">
        <v>0</v>
      </c>
      <c r="K95" s="30">
        <v>3697611</v>
      </c>
      <c r="L95" s="30">
        <v>0</v>
      </c>
      <c r="M95" s="18">
        <v>770909</v>
      </c>
      <c r="N95" s="18">
        <v>0</v>
      </c>
      <c r="O95" s="18">
        <v>2573052</v>
      </c>
      <c r="P95" s="19">
        <v>0</v>
      </c>
    </row>
    <row r="96" spans="1:18" ht="13.5" customHeight="1">
      <c r="A96" s="267"/>
      <c r="B96" s="29" t="s">
        <v>182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0</v>
      </c>
      <c r="I96" s="296">
        <v>0</v>
      </c>
      <c r="J96" s="30">
        <v>0</v>
      </c>
      <c r="K96" s="30">
        <v>0</v>
      </c>
      <c r="L96" s="30">
        <v>0</v>
      </c>
      <c r="M96" s="18">
        <v>0</v>
      </c>
      <c r="N96" s="18">
        <v>0</v>
      </c>
      <c r="O96" s="18">
        <v>0</v>
      </c>
      <c r="P96" s="19">
        <v>5146</v>
      </c>
      <c r="R96" s="10">
        <f t="shared" ref="R96" si="25">SUM(C96:K96)</f>
        <v>0</v>
      </c>
    </row>
    <row r="97" spans="1:21" ht="13.5" customHeight="1">
      <c r="A97" s="267"/>
      <c r="B97" s="29" t="s">
        <v>102</v>
      </c>
      <c r="C97" s="30">
        <f>-5806840-395213</f>
        <v>-6202053</v>
      </c>
      <c r="D97" s="30">
        <f>-3711165-262453</f>
        <v>-3973618</v>
      </c>
      <c r="E97" s="30">
        <f>-3016903.63-294651.52</f>
        <v>-3311555.15</v>
      </c>
      <c r="F97" s="30">
        <f>-3102039.03-372459.53</f>
        <v>-3474498.5599999996</v>
      </c>
      <c r="G97" s="30">
        <f>-2723237-208189-394972</f>
        <v>-3326398</v>
      </c>
      <c r="H97" s="30">
        <f>-3116690.45-970322.46</f>
        <v>-4087012.91</v>
      </c>
      <c r="I97" s="30">
        <f>-4592648-258628</f>
        <v>-4851276</v>
      </c>
      <c r="J97" s="30">
        <f>-2557978-154877</f>
        <v>-2712855</v>
      </c>
      <c r="K97" s="30">
        <f>-317556-2199087</f>
        <v>-2516643</v>
      </c>
      <c r="L97" s="30">
        <f>-3510172-156939</f>
        <v>-3667111</v>
      </c>
      <c r="M97" s="18">
        <f>-3671312-242422-88318</f>
        <v>-4002052</v>
      </c>
      <c r="N97" s="18">
        <f>-3543313-422395</f>
        <v>-3965708</v>
      </c>
      <c r="O97" s="18">
        <f>-756016-174988-1411353</f>
        <v>-2342357</v>
      </c>
      <c r="P97" s="19">
        <v>-9630</v>
      </c>
      <c r="R97" s="20">
        <f>SUM(C91:K97)</f>
        <v>22240299.880000006</v>
      </c>
    </row>
    <row r="98" spans="1:21" ht="13.5" customHeight="1">
      <c r="A98" s="267"/>
      <c r="B98" s="29" t="s">
        <v>103</v>
      </c>
      <c r="C98" s="30">
        <v>0</v>
      </c>
      <c r="D98" s="30">
        <v>0</v>
      </c>
      <c r="E98" s="30"/>
      <c r="F98" s="30">
        <v>0</v>
      </c>
      <c r="G98" s="30">
        <v>-1</v>
      </c>
      <c r="H98" s="30">
        <v>0</v>
      </c>
      <c r="I98" s="30"/>
      <c r="J98" s="30">
        <v>-2</v>
      </c>
      <c r="K98" s="30">
        <v>0</v>
      </c>
      <c r="L98" s="30">
        <v>0</v>
      </c>
      <c r="M98" s="18">
        <v>0</v>
      </c>
      <c r="N98" s="18">
        <v>0</v>
      </c>
      <c r="O98" s="18">
        <v>0</v>
      </c>
      <c r="P98" s="19">
        <v>0</v>
      </c>
    </row>
    <row r="99" spans="1:21" s="22" customFormat="1" ht="13.5" customHeight="1">
      <c r="A99" s="250" t="s">
        <v>104</v>
      </c>
      <c r="B99" s="23"/>
      <c r="C99" s="24">
        <f>SUM(C85:C98)</f>
        <v>3968694</v>
      </c>
      <c r="D99" s="24">
        <f t="shared" ref="D99:N99" si="26">SUM(D85:D98)</f>
        <v>2764928</v>
      </c>
      <c r="E99" s="24">
        <f t="shared" si="26"/>
        <v>2710088.4200000004</v>
      </c>
      <c r="F99" s="24">
        <f t="shared" si="26"/>
        <v>9675348.4299999997</v>
      </c>
      <c r="G99" s="24">
        <f t="shared" ref="G99" si="27">SUM(G85:G98)</f>
        <v>1890444</v>
      </c>
      <c r="H99" s="24">
        <f t="shared" si="26"/>
        <v>3997982.95</v>
      </c>
      <c r="I99" s="24">
        <f t="shared" si="26"/>
        <v>3123605</v>
      </c>
      <c r="J99" s="24">
        <f t="shared" si="26"/>
        <v>2053056</v>
      </c>
      <c r="K99" s="24">
        <f t="shared" si="26"/>
        <v>3204498</v>
      </c>
      <c r="L99" s="24">
        <f t="shared" si="26"/>
        <v>2088967</v>
      </c>
      <c r="M99" s="24">
        <f t="shared" si="26"/>
        <v>2088797</v>
      </c>
      <c r="N99" s="24">
        <f t="shared" si="26"/>
        <v>6678945</v>
      </c>
      <c r="O99" s="24">
        <f t="shared" ref="O99" si="28">SUM(O85:O98)</f>
        <v>1950403.5899999999</v>
      </c>
      <c r="P99" s="24">
        <f>SUM(P85:P98)</f>
        <v>15170347</v>
      </c>
      <c r="R99" s="197">
        <f>SUM(C99:K99)</f>
        <v>33388644.800000001</v>
      </c>
    </row>
    <row r="100" spans="1:21" s="22" customFormat="1" ht="13.5" customHeight="1">
      <c r="A100" s="250" t="s">
        <v>205</v>
      </c>
      <c r="B100" s="23"/>
      <c r="C100" s="24">
        <v>223550</v>
      </c>
      <c r="D100" s="24">
        <v>210828</v>
      </c>
      <c r="E100" s="24">
        <v>229625.52</v>
      </c>
      <c r="F100" s="24">
        <v>287402.09999999998</v>
      </c>
      <c r="G100" s="24">
        <v>154957</v>
      </c>
      <c r="H100" s="24">
        <v>257881.59</v>
      </c>
      <c r="I100" s="24">
        <v>203680</v>
      </c>
      <c r="J100" s="24">
        <v>236148</v>
      </c>
      <c r="K100" s="24">
        <v>151598</v>
      </c>
      <c r="L100" s="24">
        <v>0</v>
      </c>
      <c r="M100" s="24">
        <v>0</v>
      </c>
      <c r="N100" s="24">
        <v>0</v>
      </c>
      <c r="O100" s="24">
        <v>0</v>
      </c>
      <c r="P100" s="24">
        <v>0</v>
      </c>
      <c r="R100" s="197">
        <f>SUM(C100:K100)</f>
        <v>1955670.2100000002</v>
      </c>
    </row>
    <row r="101" spans="1:21" s="45" customFormat="1" ht="13.5" customHeight="1">
      <c r="A101" s="272" t="s">
        <v>202</v>
      </c>
      <c r="B101" s="195"/>
      <c r="C101" s="196">
        <f>+C99+C100</f>
        <v>4192244</v>
      </c>
      <c r="D101" s="196">
        <f t="shared" ref="D101:N101" si="29">+D99+D100</f>
        <v>2975756</v>
      </c>
      <c r="E101" s="196">
        <f t="shared" si="29"/>
        <v>2939713.9400000004</v>
      </c>
      <c r="F101" s="196">
        <f t="shared" si="29"/>
        <v>9962750.5299999993</v>
      </c>
      <c r="G101" s="196">
        <f t="shared" ref="G101" si="30">+G99+G100</f>
        <v>2045401</v>
      </c>
      <c r="H101" s="196">
        <f t="shared" si="29"/>
        <v>4255864.54</v>
      </c>
      <c r="I101" s="196">
        <f t="shared" si="29"/>
        <v>3327285</v>
      </c>
      <c r="J101" s="196">
        <f t="shared" si="29"/>
        <v>2289204</v>
      </c>
      <c r="K101" s="196">
        <f t="shared" si="29"/>
        <v>3356096</v>
      </c>
      <c r="L101" s="196">
        <f t="shared" si="29"/>
        <v>2088967</v>
      </c>
      <c r="M101" s="196">
        <f t="shared" si="29"/>
        <v>2088797</v>
      </c>
      <c r="N101" s="196">
        <f t="shared" si="29"/>
        <v>6678945</v>
      </c>
      <c r="O101" s="196">
        <f t="shared" ref="O101" si="31">+O99+O100</f>
        <v>1950403.5899999999</v>
      </c>
      <c r="P101" s="196">
        <f>P99+P100</f>
        <v>15170347</v>
      </c>
      <c r="R101" s="197">
        <f>SUM(C101:K101)</f>
        <v>35344315.009999998</v>
      </c>
    </row>
    <row r="102" spans="1:21" ht="13.5" customHeight="1">
      <c r="A102" s="262" t="s">
        <v>203</v>
      </c>
      <c r="B102" s="29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3"/>
      <c r="N102" s="53"/>
      <c r="O102" s="53"/>
      <c r="P102" s="55"/>
    </row>
    <row r="103" spans="1:21" ht="13.5" customHeight="1">
      <c r="A103" s="267"/>
      <c r="B103" s="29" t="s">
        <v>105</v>
      </c>
      <c r="C103" s="30">
        <v>190</v>
      </c>
      <c r="D103" s="30">
        <v>95</v>
      </c>
      <c r="E103" s="30">
        <v>0</v>
      </c>
      <c r="F103" s="30">
        <v>2130</v>
      </c>
      <c r="G103" s="30">
        <v>-95</v>
      </c>
      <c r="H103" s="30">
        <v>0</v>
      </c>
      <c r="I103" s="30">
        <v>1095</v>
      </c>
      <c r="J103" s="30">
        <v>0</v>
      </c>
      <c r="K103" s="30">
        <v>4209</v>
      </c>
      <c r="L103" s="30">
        <v>0</v>
      </c>
      <c r="M103" s="18">
        <v>-2458</v>
      </c>
      <c r="N103" s="18">
        <v>7184</v>
      </c>
      <c r="O103" s="18">
        <v>386</v>
      </c>
      <c r="P103" s="19">
        <v>0</v>
      </c>
      <c r="R103" s="56">
        <f t="shared" ref="R103:R124" si="32">SUM(C103:K103)</f>
        <v>7624</v>
      </c>
    </row>
    <row r="104" spans="1:21" ht="13.5" customHeight="1">
      <c r="A104" s="267"/>
      <c r="B104" s="29" t="s">
        <v>106</v>
      </c>
      <c r="C104" s="30">
        <v>22753</v>
      </c>
      <c r="D104" s="30">
        <v>19895</v>
      </c>
      <c r="E104" s="30">
        <f>62025.79+3722.45</f>
        <v>65748.240000000005</v>
      </c>
      <c r="F104" s="30">
        <v>72344.69</v>
      </c>
      <c r="G104" s="30">
        <v>51612</v>
      </c>
      <c r="H104" s="30">
        <v>73209.899999999994</v>
      </c>
      <c r="I104" s="30">
        <v>45659</v>
      </c>
      <c r="J104" s="30">
        <v>20967</v>
      </c>
      <c r="K104" s="30">
        <v>5381</v>
      </c>
      <c r="L104" s="30">
        <v>56603</v>
      </c>
      <c r="M104" s="18">
        <f>183704+1679</f>
        <v>185383</v>
      </c>
      <c r="N104" s="18">
        <v>18163</v>
      </c>
      <c r="O104" s="18">
        <v>87329</v>
      </c>
      <c r="P104" s="19">
        <v>-19086</v>
      </c>
      <c r="R104" s="56">
        <f t="shared" si="32"/>
        <v>377569.82999999996</v>
      </c>
      <c r="U104" s="108"/>
    </row>
    <row r="105" spans="1:21" ht="13.5" customHeight="1">
      <c r="A105" s="267"/>
      <c r="B105" s="29" t="s">
        <v>107</v>
      </c>
      <c r="C105" s="30">
        <v>24123</v>
      </c>
      <c r="D105" s="30">
        <v>0</v>
      </c>
      <c r="E105" s="30">
        <v>1953.51</v>
      </c>
      <c r="F105" s="30">
        <v>34747.24</v>
      </c>
      <c r="G105" s="30">
        <v>6855</v>
      </c>
      <c r="H105" s="30">
        <v>5793.26</v>
      </c>
      <c r="I105" s="30">
        <v>0</v>
      </c>
      <c r="J105" s="30">
        <v>9652</v>
      </c>
      <c r="K105" s="30">
        <v>11728</v>
      </c>
      <c r="L105" s="30">
        <v>2454</v>
      </c>
      <c r="M105" s="18">
        <v>-1287</v>
      </c>
      <c r="N105" s="18">
        <v>0</v>
      </c>
      <c r="O105" s="18">
        <v>2166</v>
      </c>
      <c r="P105" s="19">
        <v>0</v>
      </c>
      <c r="R105" s="56">
        <f t="shared" si="32"/>
        <v>94852.01</v>
      </c>
    </row>
    <row r="106" spans="1:21" ht="13.5" customHeight="1">
      <c r="A106" s="267"/>
      <c r="B106" s="29" t="s">
        <v>108</v>
      </c>
      <c r="C106" s="30">
        <v>-1465</v>
      </c>
      <c r="D106" s="30">
        <v>182003</v>
      </c>
      <c r="E106" s="30">
        <v>68216.63</v>
      </c>
      <c r="F106" s="30">
        <v>114194.17</v>
      </c>
      <c r="G106" s="30">
        <v>282688</v>
      </c>
      <c r="H106" s="30">
        <v>299908.77</v>
      </c>
      <c r="I106" s="30">
        <v>10596</v>
      </c>
      <c r="J106" s="30">
        <v>56229</v>
      </c>
      <c r="K106" s="30">
        <v>107696</v>
      </c>
      <c r="L106" s="30">
        <v>37891</v>
      </c>
      <c r="M106" s="18">
        <v>11484</v>
      </c>
      <c r="N106" s="18">
        <v>0</v>
      </c>
      <c r="O106" s="18">
        <v>37050</v>
      </c>
      <c r="P106" s="19">
        <v>58346</v>
      </c>
      <c r="R106" s="56">
        <f t="shared" si="32"/>
        <v>1120066.57</v>
      </c>
    </row>
    <row r="107" spans="1:21" ht="13.5" customHeight="1">
      <c r="A107" s="267"/>
      <c r="B107" s="29" t="s">
        <v>109</v>
      </c>
      <c r="C107" s="30">
        <v>0</v>
      </c>
      <c r="D107" s="30">
        <v>0</v>
      </c>
      <c r="E107" s="30">
        <v>0</v>
      </c>
      <c r="F107" s="30">
        <v>2234.6799999999998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2159</v>
      </c>
      <c r="M107" s="18">
        <v>-7657</v>
      </c>
      <c r="N107" s="18">
        <v>-66</v>
      </c>
      <c r="O107" s="18">
        <v>1505</v>
      </c>
      <c r="P107" s="19">
        <v>0</v>
      </c>
      <c r="R107" s="56">
        <f t="shared" si="32"/>
        <v>2234.6799999999998</v>
      </c>
    </row>
    <row r="108" spans="1:21" ht="13.5" customHeight="1">
      <c r="A108" s="267"/>
      <c r="B108" s="29" t="s">
        <v>110</v>
      </c>
      <c r="C108" s="30">
        <v>17416</v>
      </c>
      <c r="D108" s="30">
        <v>43645</v>
      </c>
      <c r="E108" s="30">
        <v>2000</v>
      </c>
      <c r="F108" s="30">
        <v>12973.89</v>
      </c>
      <c r="G108" s="30">
        <v>16600</v>
      </c>
      <c r="H108" s="30">
        <v>1000</v>
      </c>
      <c r="I108" s="30">
        <v>28500</v>
      </c>
      <c r="J108" s="30">
        <v>18889</v>
      </c>
      <c r="K108" s="30">
        <v>5325</v>
      </c>
      <c r="L108" s="30">
        <v>1200</v>
      </c>
      <c r="M108" s="18">
        <v>271418</v>
      </c>
      <c r="N108" s="18">
        <v>34680</v>
      </c>
      <c r="O108" s="18">
        <v>600</v>
      </c>
      <c r="P108" s="19">
        <v>0</v>
      </c>
      <c r="R108" s="56">
        <f t="shared" si="32"/>
        <v>146348.89000000001</v>
      </c>
    </row>
    <row r="109" spans="1:21" ht="13.5" customHeight="1">
      <c r="A109" s="267"/>
      <c r="B109" s="29" t="s">
        <v>111</v>
      </c>
      <c r="C109" s="30">
        <v>40068</v>
      </c>
      <c r="D109" s="30">
        <v>23032</v>
      </c>
      <c r="E109" s="30">
        <v>21501.15</v>
      </c>
      <c r="F109" s="30">
        <v>36655.79</v>
      </c>
      <c r="G109" s="30">
        <v>27622</v>
      </c>
      <c r="H109" s="30">
        <v>149728.29999999999</v>
      </c>
      <c r="I109" s="30">
        <v>27147</v>
      </c>
      <c r="J109" s="30">
        <v>49231</v>
      </c>
      <c r="K109" s="30">
        <v>43083</v>
      </c>
      <c r="L109" s="30">
        <v>17107</v>
      </c>
      <c r="M109" s="18">
        <v>0</v>
      </c>
      <c r="N109" s="18">
        <v>6872</v>
      </c>
      <c r="O109" s="18">
        <v>0</v>
      </c>
      <c r="P109" s="19">
        <v>0</v>
      </c>
      <c r="R109" s="56">
        <f t="shared" si="32"/>
        <v>418068.24</v>
      </c>
    </row>
    <row r="110" spans="1:21" ht="13.5" customHeight="1">
      <c r="A110" s="267"/>
      <c r="B110" s="29" t="s">
        <v>112</v>
      </c>
      <c r="C110" s="30">
        <v>0</v>
      </c>
      <c r="D110" s="30">
        <v>3408</v>
      </c>
      <c r="E110" s="30">
        <v>0</v>
      </c>
      <c r="F110" s="30">
        <v>0</v>
      </c>
      <c r="G110" s="30">
        <v>0</v>
      </c>
      <c r="H110" s="30">
        <v>340277.32999999996</v>
      </c>
      <c r="I110" s="30">
        <v>26885</v>
      </c>
      <c r="J110" s="30">
        <v>46528</v>
      </c>
      <c r="K110" s="30">
        <v>171779</v>
      </c>
      <c r="L110" s="30">
        <v>24221</v>
      </c>
      <c r="M110" s="300">
        <v>74</v>
      </c>
      <c r="N110" s="18">
        <v>2750</v>
      </c>
      <c r="O110" s="18">
        <v>45681.4</v>
      </c>
      <c r="P110" s="19">
        <v>785406</v>
      </c>
      <c r="R110" s="56">
        <f t="shared" si="32"/>
        <v>588877.32999999996</v>
      </c>
    </row>
    <row r="111" spans="1:21" ht="13.5" customHeight="1">
      <c r="A111" s="267"/>
      <c r="B111" s="29" t="s">
        <v>208</v>
      </c>
      <c r="C111" s="18">
        <v>788169</v>
      </c>
      <c r="D111" s="30">
        <v>737517</v>
      </c>
      <c r="E111" s="30">
        <v>771394.55</v>
      </c>
      <c r="F111" s="30">
        <v>873273.89</v>
      </c>
      <c r="G111" s="30">
        <v>430744</v>
      </c>
      <c r="H111" s="30">
        <v>878165.08</v>
      </c>
      <c r="I111" s="30">
        <v>779357</v>
      </c>
      <c r="J111" s="30">
        <v>799038</v>
      </c>
      <c r="K111" s="30">
        <v>534596</v>
      </c>
      <c r="L111" s="30">
        <v>0</v>
      </c>
      <c r="M111" s="18">
        <v>0</v>
      </c>
      <c r="N111" s="18">
        <v>0</v>
      </c>
      <c r="O111" s="18">
        <v>297653</v>
      </c>
      <c r="P111" s="19">
        <v>0</v>
      </c>
      <c r="R111" s="56">
        <f t="shared" si="32"/>
        <v>6592254.5199999996</v>
      </c>
    </row>
    <row r="112" spans="1:21" ht="13.5" customHeight="1">
      <c r="A112" s="267"/>
      <c r="B112" s="29" t="s">
        <v>238</v>
      </c>
      <c r="C112" s="18">
        <v>0</v>
      </c>
      <c r="D112" s="30">
        <v>0</v>
      </c>
      <c r="E112" s="30">
        <v>0</v>
      </c>
      <c r="F112" s="30">
        <v>0</v>
      </c>
      <c r="G112" s="30">
        <v>0</v>
      </c>
      <c r="H112" s="30">
        <v>0</v>
      </c>
      <c r="I112" s="30">
        <v>0</v>
      </c>
      <c r="J112" s="30">
        <v>0</v>
      </c>
      <c r="K112" s="30">
        <v>0</v>
      </c>
      <c r="L112" s="30">
        <v>0</v>
      </c>
      <c r="M112" s="18">
        <v>0</v>
      </c>
      <c r="N112" s="18">
        <v>0</v>
      </c>
      <c r="O112" s="18">
        <v>0</v>
      </c>
      <c r="P112" s="19">
        <v>0</v>
      </c>
      <c r="R112" s="56">
        <f t="shared" si="32"/>
        <v>0</v>
      </c>
    </row>
    <row r="113" spans="1:18" s="22" customFormat="1" ht="13.5" customHeight="1">
      <c r="A113" s="250" t="s">
        <v>207</v>
      </c>
      <c r="B113" s="23"/>
      <c r="C113" s="24">
        <f>SUM(C103:C112)</f>
        <v>891254</v>
      </c>
      <c r="D113" s="24">
        <f t="shared" ref="D113:P113" si="33">SUM(D103:D112)</f>
        <v>1009595</v>
      </c>
      <c r="E113" s="24">
        <f t="shared" si="33"/>
        <v>930814.08000000007</v>
      </c>
      <c r="F113" s="24">
        <f t="shared" si="33"/>
        <v>1148554.3500000001</v>
      </c>
      <c r="G113" s="24">
        <f t="shared" si="33"/>
        <v>816026</v>
      </c>
      <c r="H113" s="24">
        <f t="shared" si="33"/>
        <v>1748082.64</v>
      </c>
      <c r="I113" s="24">
        <f t="shared" si="33"/>
        <v>919239</v>
      </c>
      <c r="J113" s="24">
        <f t="shared" si="33"/>
        <v>1000534</v>
      </c>
      <c r="K113" s="24">
        <f t="shared" si="33"/>
        <v>883797</v>
      </c>
      <c r="L113" s="24">
        <f t="shared" si="33"/>
        <v>141635</v>
      </c>
      <c r="M113" s="24">
        <f t="shared" si="33"/>
        <v>456957</v>
      </c>
      <c r="N113" s="24">
        <f t="shared" si="33"/>
        <v>69583</v>
      </c>
      <c r="O113" s="24">
        <f t="shared" si="33"/>
        <v>472370.4</v>
      </c>
      <c r="P113" s="24">
        <f t="shared" si="33"/>
        <v>824666</v>
      </c>
      <c r="R113" s="197">
        <f t="shared" si="32"/>
        <v>9347896.0700000003</v>
      </c>
    </row>
    <row r="114" spans="1:18" s="22" customFormat="1" ht="13.5" customHeight="1">
      <c r="A114" s="250" t="s">
        <v>206</v>
      </c>
      <c r="B114" s="23"/>
      <c r="C114" s="24">
        <v>7356</v>
      </c>
      <c r="D114" s="24">
        <v>6883</v>
      </c>
      <c r="E114" s="24">
        <v>7199.12</v>
      </c>
      <c r="F114" s="24">
        <v>8149.92</v>
      </c>
      <c r="G114" s="24">
        <v>4020</v>
      </c>
      <c r="H114" s="24">
        <v>2016.44</v>
      </c>
      <c r="I114" s="24">
        <v>7273</v>
      </c>
      <c r="J114" s="24">
        <v>7457</v>
      </c>
      <c r="K114" s="24">
        <v>1228</v>
      </c>
      <c r="L114" s="24">
        <v>0</v>
      </c>
      <c r="M114" s="24">
        <v>0</v>
      </c>
      <c r="N114" s="24">
        <v>0</v>
      </c>
      <c r="O114" s="24">
        <v>0</v>
      </c>
      <c r="P114" s="24">
        <v>0</v>
      </c>
      <c r="R114" s="197">
        <f t="shared" si="32"/>
        <v>51582.48</v>
      </c>
    </row>
    <row r="115" spans="1:18" s="45" customFormat="1" ht="13.5" customHeight="1">
      <c r="A115" s="272" t="s">
        <v>204</v>
      </c>
      <c r="B115" s="195"/>
      <c r="C115" s="196">
        <f>+C113+C114</f>
        <v>898610</v>
      </c>
      <c r="D115" s="196">
        <f t="shared" ref="D115:P115" si="34">+D113+D114</f>
        <v>1016478</v>
      </c>
      <c r="E115" s="196">
        <f t="shared" si="34"/>
        <v>938013.20000000007</v>
      </c>
      <c r="F115" s="196">
        <f t="shared" si="34"/>
        <v>1156704.27</v>
      </c>
      <c r="G115" s="196">
        <f t="shared" ref="G115" si="35">+G113+G114</f>
        <v>820046</v>
      </c>
      <c r="H115" s="196">
        <f t="shared" si="34"/>
        <v>1750099.0799999998</v>
      </c>
      <c r="I115" s="196">
        <f t="shared" si="34"/>
        <v>926512</v>
      </c>
      <c r="J115" s="196">
        <f t="shared" si="34"/>
        <v>1007991</v>
      </c>
      <c r="K115" s="196">
        <f t="shared" si="34"/>
        <v>885025</v>
      </c>
      <c r="L115" s="196">
        <f t="shared" si="34"/>
        <v>141635</v>
      </c>
      <c r="M115" s="196">
        <f t="shared" si="34"/>
        <v>456957</v>
      </c>
      <c r="N115" s="196">
        <f t="shared" si="34"/>
        <v>69583</v>
      </c>
      <c r="O115" s="196">
        <f t="shared" si="34"/>
        <v>472370.4</v>
      </c>
      <c r="P115" s="196">
        <f t="shared" si="34"/>
        <v>824666</v>
      </c>
      <c r="R115" s="197">
        <f t="shared" si="32"/>
        <v>9399478.5500000007</v>
      </c>
    </row>
    <row r="116" spans="1:18" ht="13.5" customHeight="1">
      <c r="A116" s="262" t="s">
        <v>113</v>
      </c>
      <c r="B116" s="29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3"/>
      <c r="N116" s="53"/>
      <c r="O116" s="53"/>
      <c r="P116" s="55"/>
      <c r="R116" s="56">
        <f t="shared" si="32"/>
        <v>0</v>
      </c>
    </row>
    <row r="117" spans="1:18" ht="13.5" customHeight="1">
      <c r="A117" s="267"/>
      <c r="B117" s="29" t="s">
        <v>114</v>
      </c>
      <c r="C117" s="30">
        <v>6300</v>
      </c>
      <c r="D117" s="30">
        <v>0</v>
      </c>
      <c r="E117" s="30">
        <v>23294.449999999997</v>
      </c>
      <c r="F117" s="30">
        <v>8840.2800000000007</v>
      </c>
      <c r="G117" s="30">
        <v>3773</v>
      </c>
      <c r="H117" s="30">
        <v>27578.68</v>
      </c>
      <c r="I117" s="30">
        <v>134401</v>
      </c>
      <c r="J117" s="30">
        <v>96478</v>
      </c>
      <c r="K117" s="30">
        <v>209761</v>
      </c>
      <c r="L117" s="30">
        <v>0</v>
      </c>
      <c r="M117" s="18">
        <v>32997</v>
      </c>
      <c r="N117" s="18"/>
      <c r="O117" s="18">
        <v>0</v>
      </c>
      <c r="P117" s="19">
        <v>0</v>
      </c>
      <c r="R117" s="56">
        <f>SUM(C117:K117)</f>
        <v>510426.41000000003</v>
      </c>
    </row>
    <row r="118" spans="1:18" ht="13.5" customHeight="1">
      <c r="A118" s="267"/>
      <c r="B118" s="29" t="s">
        <v>40</v>
      </c>
      <c r="C118" s="30">
        <f>C64</f>
        <v>1163582</v>
      </c>
      <c r="D118" s="30">
        <f t="shared" ref="D118:P118" si="36">D64</f>
        <v>1527055.37</v>
      </c>
      <c r="E118" s="30">
        <f t="shared" si="36"/>
        <v>239918.53000000003</v>
      </c>
      <c r="F118" s="30">
        <f t="shared" si="36"/>
        <v>3407721.68</v>
      </c>
      <c r="G118" s="30">
        <f t="shared" ref="G118" si="37">G64</f>
        <v>-367141</v>
      </c>
      <c r="H118" s="30">
        <f t="shared" si="36"/>
        <v>-151738</v>
      </c>
      <c r="I118" s="30">
        <f t="shared" si="36"/>
        <v>377973</v>
      </c>
      <c r="J118" s="30">
        <f t="shared" si="36"/>
        <v>840274</v>
      </c>
      <c r="K118" s="30">
        <f t="shared" si="36"/>
        <v>1318789</v>
      </c>
      <c r="L118" s="30">
        <f t="shared" si="36"/>
        <v>450738</v>
      </c>
      <c r="M118" s="30">
        <f t="shared" si="36"/>
        <v>119895</v>
      </c>
      <c r="N118" s="30">
        <f t="shared" si="36"/>
        <v>1117095</v>
      </c>
      <c r="O118" s="30">
        <f t="shared" si="36"/>
        <v>638223.25000000023</v>
      </c>
      <c r="P118" s="18">
        <f t="shared" si="36"/>
        <v>2149780</v>
      </c>
      <c r="R118" s="56">
        <f>SUM(C118:K118)</f>
        <v>8356434.5800000001</v>
      </c>
    </row>
    <row r="119" spans="1:18" ht="13.5" customHeight="1">
      <c r="A119" s="267"/>
      <c r="B119" s="29" t="s">
        <v>234</v>
      </c>
      <c r="C119" s="30">
        <f>C65</f>
        <v>-571974</v>
      </c>
      <c r="D119" s="30">
        <f t="shared" ref="D119:P119" si="38">D65</f>
        <v>-533572.18999999994</v>
      </c>
      <c r="E119" s="30">
        <f t="shared" si="38"/>
        <v>-548968.15</v>
      </c>
      <c r="F119" s="30">
        <f t="shared" si="38"/>
        <v>-594021.71</v>
      </c>
      <c r="G119" s="30">
        <f t="shared" ref="G119" si="39">G65</f>
        <v>-279807</v>
      </c>
      <c r="H119" s="30">
        <f t="shared" si="38"/>
        <v>-861587</v>
      </c>
      <c r="I119" s="30">
        <f t="shared" si="38"/>
        <v>-582950</v>
      </c>
      <c r="J119" s="30">
        <f t="shared" si="38"/>
        <v>-570347</v>
      </c>
      <c r="K119" s="30">
        <f t="shared" si="38"/>
        <v>-384225</v>
      </c>
      <c r="L119" s="30">
        <f t="shared" si="38"/>
        <v>0</v>
      </c>
      <c r="M119" s="30">
        <f t="shared" si="38"/>
        <v>0</v>
      </c>
      <c r="N119" s="30">
        <f t="shared" si="38"/>
        <v>0</v>
      </c>
      <c r="O119" s="30">
        <f t="shared" si="38"/>
        <v>-297653</v>
      </c>
      <c r="P119" s="18">
        <f t="shared" si="38"/>
        <v>0</v>
      </c>
      <c r="R119" s="56">
        <f>SUM(C119:K119)</f>
        <v>-4927452.05</v>
      </c>
    </row>
    <row r="120" spans="1:18" ht="13.5" customHeight="1">
      <c r="A120" s="267"/>
      <c r="B120" s="29" t="s">
        <v>41</v>
      </c>
      <c r="C120" s="30">
        <f>C66</f>
        <v>0</v>
      </c>
      <c r="D120" s="30">
        <f t="shared" ref="D120:P120" si="40">D66</f>
        <v>0</v>
      </c>
      <c r="E120" s="30">
        <f t="shared" si="40"/>
        <v>0</v>
      </c>
      <c r="F120" s="30">
        <f t="shared" si="40"/>
        <v>0</v>
      </c>
      <c r="G120" s="30">
        <f t="shared" ref="G120" si="41">G66</f>
        <v>0</v>
      </c>
      <c r="H120" s="30">
        <f t="shared" si="40"/>
        <v>0</v>
      </c>
      <c r="I120" s="30">
        <f t="shared" si="40"/>
        <v>0</v>
      </c>
      <c r="J120" s="30">
        <f t="shared" si="40"/>
        <v>0</v>
      </c>
      <c r="K120" s="30">
        <f t="shared" si="40"/>
        <v>0</v>
      </c>
      <c r="L120" s="30">
        <f t="shared" si="40"/>
        <v>0</v>
      </c>
      <c r="M120" s="30">
        <f t="shared" si="40"/>
        <v>0</v>
      </c>
      <c r="N120" s="30">
        <f t="shared" si="40"/>
        <v>0</v>
      </c>
      <c r="O120" s="30">
        <f t="shared" si="40"/>
        <v>-52578</v>
      </c>
      <c r="P120" s="18">
        <f t="shared" si="40"/>
        <v>0</v>
      </c>
      <c r="R120" s="56">
        <f t="shared" si="32"/>
        <v>0</v>
      </c>
    </row>
    <row r="121" spans="1:18" ht="13.5" customHeight="1">
      <c r="A121" s="267"/>
      <c r="B121" s="29" t="s">
        <v>115</v>
      </c>
      <c r="C121" s="30">
        <f>C67</f>
        <v>2695727</v>
      </c>
      <c r="D121" s="30">
        <f t="shared" ref="D121:P121" si="42">D67</f>
        <v>965794.08</v>
      </c>
      <c r="E121" s="30">
        <f t="shared" si="42"/>
        <v>2287454.9499999997</v>
      </c>
      <c r="F121" s="30">
        <f t="shared" si="42"/>
        <v>5983506.0099999998</v>
      </c>
      <c r="G121" s="30">
        <f t="shared" ref="G121" si="43">G67</f>
        <v>1868529</v>
      </c>
      <c r="H121" s="30">
        <f t="shared" si="42"/>
        <v>3491511.9300000006</v>
      </c>
      <c r="I121" s="30">
        <f t="shared" si="42"/>
        <v>2471349</v>
      </c>
      <c r="J121" s="30">
        <f t="shared" si="42"/>
        <v>914808</v>
      </c>
      <c r="K121" s="30">
        <f t="shared" si="42"/>
        <v>1326746</v>
      </c>
      <c r="L121" s="30">
        <f t="shared" si="42"/>
        <v>1496594</v>
      </c>
      <c r="M121" s="30">
        <f t="shared" si="42"/>
        <v>1478948</v>
      </c>
      <c r="N121" s="30">
        <f t="shared" si="42"/>
        <v>5492267</v>
      </c>
      <c r="O121" s="30">
        <f t="shared" si="42"/>
        <v>1190041.0399999998</v>
      </c>
      <c r="P121" s="18">
        <f t="shared" si="42"/>
        <v>12195901</v>
      </c>
      <c r="R121" s="56">
        <f t="shared" si="32"/>
        <v>22005425.969999999</v>
      </c>
    </row>
    <row r="122" spans="1:18" ht="13.5" customHeight="1">
      <c r="A122" s="273"/>
      <c r="B122" s="60" t="s">
        <v>162</v>
      </c>
      <c r="C122" s="62">
        <v>0</v>
      </c>
      <c r="D122" s="62">
        <v>0</v>
      </c>
      <c r="E122" s="63">
        <v>0</v>
      </c>
      <c r="F122" s="62">
        <v>0</v>
      </c>
      <c r="G122" s="62">
        <v>1</v>
      </c>
      <c r="H122" s="62">
        <v>0</v>
      </c>
      <c r="I122" s="63"/>
      <c r="J122" s="62">
        <v>0</v>
      </c>
      <c r="K122" s="62"/>
      <c r="L122" s="62">
        <v>0</v>
      </c>
      <c r="M122" s="61">
        <v>0</v>
      </c>
      <c r="N122" s="61">
        <v>0</v>
      </c>
      <c r="O122" s="61">
        <v>0</v>
      </c>
      <c r="P122" s="63">
        <v>0</v>
      </c>
      <c r="R122" s="56">
        <f>SUM(C122:P122)</f>
        <v>1</v>
      </c>
    </row>
    <row r="123" spans="1:18" s="22" customFormat="1" ht="13.5" customHeight="1">
      <c r="A123" s="250" t="s">
        <v>43</v>
      </c>
      <c r="B123" s="64"/>
      <c r="C123" s="65">
        <f>SUM(C117:C122)</f>
        <v>3293635</v>
      </c>
      <c r="D123" s="65">
        <f t="shared" ref="D123:N123" si="44">SUM(D117:D122)</f>
        <v>1959277.2600000002</v>
      </c>
      <c r="E123" s="65">
        <f t="shared" si="44"/>
        <v>2001699.7799999998</v>
      </c>
      <c r="F123" s="65">
        <f t="shared" si="44"/>
        <v>8806046.2599999998</v>
      </c>
      <c r="G123" s="65">
        <f t="shared" ref="G123" si="45">SUM(G117:G122)</f>
        <v>1225355</v>
      </c>
      <c r="H123" s="65">
        <f t="shared" si="44"/>
        <v>2505765.6100000003</v>
      </c>
      <c r="I123" s="65">
        <f t="shared" si="44"/>
        <v>2400773</v>
      </c>
      <c r="J123" s="65">
        <f t="shared" si="44"/>
        <v>1281213</v>
      </c>
      <c r="K123" s="65">
        <f t="shared" si="44"/>
        <v>2471071</v>
      </c>
      <c r="L123" s="65">
        <f t="shared" si="44"/>
        <v>1947332</v>
      </c>
      <c r="M123" s="65">
        <f t="shared" si="44"/>
        <v>1631840</v>
      </c>
      <c r="N123" s="65">
        <f t="shared" si="44"/>
        <v>6609362</v>
      </c>
      <c r="O123" s="65">
        <f t="shared" ref="O123" si="46">SUM(O117:O122)</f>
        <v>1478033.29</v>
      </c>
      <c r="P123" s="65">
        <f>SUM(P117:P122)</f>
        <v>14345681</v>
      </c>
      <c r="R123" s="58">
        <f t="shared" si="32"/>
        <v>25944835.909999996</v>
      </c>
    </row>
    <row r="124" spans="1:18" s="45" customFormat="1" ht="13.5" customHeight="1">
      <c r="A124" s="272" t="s">
        <v>209</v>
      </c>
      <c r="B124" s="195"/>
      <c r="C124" s="196">
        <f t="shared" ref="C124:I124" si="47">SUM(C115:C122)</f>
        <v>4192245</v>
      </c>
      <c r="D124" s="196">
        <f t="shared" si="47"/>
        <v>2975755.2600000002</v>
      </c>
      <c r="E124" s="196">
        <f t="shared" si="47"/>
        <v>2939712.98</v>
      </c>
      <c r="F124" s="196">
        <f t="shared" si="47"/>
        <v>9962750.5300000012</v>
      </c>
      <c r="G124" s="196">
        <f t="shared" ref="G124" si="48">SUM(G115:G122)</f>
        <v>2045401</v>
      </c>
      <c r="H124" s="196">
        <f t="shared" si="47"/>
        <v>4255864.6900000004</v>
      </c>
      <c r="I124" s="196">
        <f t="shared" si="47"/>
        <v>3327285</v>
      </c>
      <c r="J124" s="196">
        <f t="shared" ref="J124:N124" si="49">SUM(J115:J122)</f>
        <v>2289204</v>
      </c>
      <c r="K124" s="196">
        <f t="shared" si="49"/>
        <v>3356096</v>
      </c>
      <c r="L124" s="196">
        <f t="shared" si="49"/>
        <v>2088967</v>
      </c>
      <c r="M124" s="196">
        <f t="shared" si="49"/>
        <v>2088797</v>
      </c>
      <c r="N124" s="196">
        <f t="shared" si="49"/>
        <v>6678945</v>
      </c>
      <c r="O124" s="196">
        <f t="shared" ref="O124" si="50">SUM(O115:O122)</f>
        <v>1950403.6900000002</v>
      </c>
      <c r="P124" s="196">
        <f>SUM(P115:P122)</f>
        <v>15170347</v>
      </c>
      <c r="R124" s="197">
        <f t="shared" si="32"/>
        <v>35344314.460000008</v>
      </c>
    </row>
    <row r="125" spans="1:18">
      <c r="A125" s="68"/>
      <c r="B125" s="59" t="s">
        <v>85</v>
      </c>
      <c r="C125" s="102">
        <f>+C101-C124</f>
        <v>-1</v>
      </c>
      <c r="D125" s="102">
        <f>+D101-D124</f>
        <v>0.73999999975785613</v>
      </c>
      <c r="E125" s="102">
        <f t="shared" ref="E125:P125" si="51">+E101-E124</f>
        <v>0.96000000042840838</v>
      </c>
      <c r="F125" s="102">
        <f t="shared" si="51"/>
        <v>0</v>
      </c>
      <c r="G125" s="102">
        <f t="shared" ref="G125" si="52">+G101-G124</f>
        <v>0</v>
      </c>
      <c r="H125" s="102">
        <f t="shared" si="51"/>
        <v>-0.15000000037252903</v>
      </c>
      <c r="I125" s="102">
        <f t="shared" si="51"/>
        <v>0</v>
      </c>
      <c r="J125" s="123">
        <f t="shared" si="51"/>
        <v>0</v>
      </c>
      <c r="K125" s="123">
        <f t="shared" si="51"/>
        <v>0</v>
      </c>
      <c r="L125" s="123">
        <f t="shared" si="51"/>
        <v>0</v>
      </c>
      <c r="M125" s="102">
        <f t="shared" si="51"/>
        <v>0</v>
      </c>
      <c r="N125" s="102">
        <f t="shared" si="51"/>
        <v>0</v>
      </c>
      <c r="O125" s="123">
        <f t="shared" ref="O125" si="53">+O101-O124</f>
        <v>-0.1000000003259629</v>
      </c>
      <c r="P125" s="216">
        <f t="shared" si="51"/>
        <v>0</v>
      </c>
    </row>
    <row r="126" spans="1:18" ht="13.5" customHeight="1">
      <c r="A126" s="59"/>
      <c r="B126" s="90"/>
      <c r="C126" s="91"/>
      <c r="D126" s="91"/>
      <c r="E126" s="91"/>
      <c r="F126" s="91"/>
      <c r="G126" s="91"/>
      <c r="H126" s="91"/>
      <c r="I126" s="91"/>
      <c r="J126" s="215"/>
      <c r="K126" s="215"/>
      <c r="L126" s="215"/>
      <c r="M126" s="91"/>
      <c r="N126" s="91"/>
      <c r="O126" s="215"/>
      <c r="P126" s="91"/>
    </row>
    <row r="127" spans="1:18" ht="40.5" customHeight="1">
      <c r="A127" s="333" t="s">
        <v>116</v>
      </c>
      <c r="B127" s="334"/>
      <c r="C127" s="338">
        <f t="shared" ref="C127:P127" si="54">C57/(C32)</f>
        <v>7.3970281757436626E-3</v>
      </c>
      <c r="D127" s="338">
        <f t="shared" si="54"/>
        <v>2.0426313552932791E-2</v>
      </c>
      <c r="E127" s="338">
        <f t="shared" si="54"/>
        <v>1.6644386134093331E-2</v>
      </c>
      <c r="F127" s="338">
        <f t="shared" si="54"/>
        <v>0.26055919253434306</v>
      </c>
      <c r="G127" s="338">
        <f t="shared" ref="G127" si="55">G57/(G32)</f>
        <v>3.3503792132405022E-2</v>
      </c>
      <c r="H127" s="338">
        <f t="shared" si="54"/>
        <v>-0.22198821833775775</v>
      </c>
      <c r="I127" s="338">
        <f t="shared" si="54"/>
        <v>0.33170963031318162</v>
      </c>
      <c r="J127" s="338">
        <f t="shared" si="54"/>
        <v>0.15825848262230069</v>
      </c>
      <c r="K127" s="338">
        <f t="shared" si="54"/>
        <v>5.4320958122029792E-2</v>
      </c>
      <c r="L127" s="338">
        <f t="shared" si="54"/>
        <v>-2.7628076323299861E-2</v>
      </c>
      <c r="M127" s="338">
        <f t="shared" si="54"/>
        <v>-5.4384844389794192E-2</v>
      </c>
      <c r="N127" s="338">
        <f t="shared" si="54"/>
        <v>6.36301221325873E-2</v>
      </c>
      <c r="O127" s="338">
        <f t="shared" ref="O127" si="56">O57/(O32)</f>
        <v>-0.11338952701910221</v>
      </c>
      <c r="P127" s="338">
        <f t="shared" si="54"/>
        <v>-0.57758673712420072</v>
      </c>
    </row>
    <row r="128" spans="1:18" ht="24">
      <c r="A128" s="241"/>
      <c r="B128" s="242" t="s">
        <v>117</v>
      </c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38"/>
      <c r="N128" s="338"/>
      <c r="O128" s="338"/>
      <c r="P128" s="338"/>
    </row>
    <row r="129" spans="1:17" ht="14.25">
      <c r="A129" s="243" t="s">
        <v>190</v>
      </c>
      <c r="B129" s="244"/>
      <c r="C129" s="339">
        <f t="shared" ref="C129:P129" si="57">(SUM(C87:C88))/SUM(C103:C108)</f>
        <v>20.200374502118475</v>
      </c>
      <c r="D129" s="339">
        <f t="shared" si="57"/>
        <v>7.2400198666330127</v>
      </c>
      <c r="E129" s="339">
        <f t="shared" si="57"/>
        <v>2.2770875788999265</v>
      </c>
      <c r="F129" s="339">
        <f t="shared" si="57"/>
        <v>15.452615230436988</v>
      </c>
      <c r="G129" s="339">
        <f t="shared" ref="G129" si="58">(SUM(G87:G88))/SUM(G103:G108)</f>
        <v>3.2656713079460942E-2</v>
      </c>
      <c r="H129" s="339">
        <f t="shared" si="57"/>
        <v>1.2720543942908031</v>
      </c>
      <c r="I129" s="339">
        <f t="shared" si="57"/>
        <v>7.2844612696563775</v>
      </c>
      <c r="J129" s="339">
        <f t="shared" si="57"/>
        <v>10.315329544057425</v>
      </c>
      <c r="K129" s="339">
        <f t="shared" si="57"/>
        <v>12.567199398536538</v>
      </c>
      <c r="L129" s="339">
        <f t="shared" si="57"/>
        <v>3.8766486885262244</v>
      </c>
      <c r="M129" s="339">
        <f t="shared" si="57"/>
        <v>1.3265693842843791</v>
      </c>
      <c r="N129" s="339">
        <f t="shared" si="57"/>
        <v>19.670719300878904</v>
      </c>
      <c r="O129" s="339">
        <f t="shared" ref="O129" si="59">(SUM(O87:O88))/SUM(O103:O108)</f>
        <v>5.4019699153724536</v>
      </c>
      <c r="P129" s="339">
        <f t="shared" si="57"/>
        <v>74.759271523178811</v>
      </c>
    </row>
    <row r="130" spans="1:17" ht="36">
      <c r="A130" s="245"/>
      <c r="B130" s="246" t="s">
        <v>191</v>
      </c>
      <c r="C130" s="340"/>
      <c r="D130" s="340"/>
      <c r="E130" s="340"/>
      <c r="F130" s="340"/>
      <c r="G130" s="340"/>
      <c r="H130" s="340"/>
      <c r="I130" s="340"/>
      <c r="J130" s="340"/>
      <c r="K130" s="340"/>
      <c r="L130" s="340"/>
      <c r="M130" s="340"/>
      <c r="N130" s="340"/>
      <c r="O130" s="340"/>
      <c r="P130" s="340"/>
    </row>
    <row r="131" spans="1:17" ht="14.25">
      <c r="A131" s="243" t="s">
        <v>192</v>
      </c>
      <c r="B131" s="244"/>
      <c r="C131" s="339">
        <f t="shared" ref="C131:P131" si="60">(SUM(C87:C88))/SUM(C103:C109)</f>
        <v>12.348712227773197</v>
      </c>
      <c r="D131" s="339">
        <f t="shared" si="60"/>
        <v>6.6193620426545579</v>
      </c>
      <c r="E131" s="339">
        <f t="shared" si="60"/>
        <v>1.9699733777912909</v>
      </c>
      <c r="F131" s="339">
        <f t="shared" si="60"/>
        <v>13.394976199908996</v>
      </c>
      <c r="G131" s="339">
        <f t="shared" ref="G131" si="61">(SUM(G87:G88))/SUM(G103:G109)</f>
        <v>3.0315457249495175E-2</v>
      </c>
      <c r="H131" s="339">
        <f t="shared" si="60"/>
        <v>0.912447001996053</v>
      </c>
      <c r="I131" s="339">
        <f t="shared" si="60"/>
        <v>5.5344035682363248</v>
      </c>
      <c r="J131" s="339">
        <f t="shared" si="60"/>
        <v>7.0383046822569817</v>
      </c>
      <c r="K131" s="339">
        <f t="shared" si="60"/>
        <v>9.5155335865901627</v>
      </c>
      <c r="L131" s="339">
        <f t="shared" si="60"/>
        <v>3.3118282317270511</v>
      </c>
      <c r="M131" s="339">
        <f t="shared" si="60"/>
        <v>1.3265693842843791</v>
      </c>
      <c r="N131" s="339">
        <f t="shared" si="60"/>
        <v>17.648107970613321</v>
      </c>
      <c r="O131" s="339">
        <f t="shared" ref="O131" si="62">(SUM(O87:O88))/SUM(O103:O109)</f>
        <v>5.4019699153724536</v>
      </c>
      <c r="P131" s="339">
        <f t="shared" si="60"/>
        <v>74.759271523178811</v>
      </c>
    </row>
    <row r="132" spans="1:17" ht="24">
      <c r="A132" s="245"/>
      <c r="B132" s="246" t="s">
        <v>193</v>
      </c>
      <c r="C132" s="340"/>
      <c r="D132" s="340"/>
      <c r="E132" s="340"/>
      <c r="F132" s="340"/>
      <c r="G132" s="340"/>
      <c r="H132" s="340"/>
      <c r="I132" s="340"/>
      <c r="J132" s="340"/>
      <c r="K132" s="340"/>
      <c r="L132" s="340"/>
      <c r="M132" s="340"/>
      <c r="N132" s="340"/>
      <c r="O132" s="340"/>
      <c r="P132" s="340"/>
    </row>
    <row r="133" spans="1:17" s="151" customFormat="1" ht="8.1" customHeight="1">
      <c r="A133" s="152"/>
      <c r="B133" s="153"/>
      <c r="C133" s="154"/>
      <c r="D133" s="154"/>
      <c r="E133" s="154"/>
      <c r="F133" s="154"/>
      <c r="G133" s="154"/>
      <c r="H133" s="154"/>
      <c r="I133" s="154"/>
      <c r="J133" s="154"/>
      <c r="K133" s="154"/>
      <c r="L133" s="154"/>
      <c r="M133" s="154"/>
      <c r="N133" s="154"/>
      <c r="O133" s="154"/>
      <c r="P133" s="155"/>
    </row>
    <row r="134" spans="1:17" ht="13.5" customHeight="1">
      <c r="A134" s="248" t="s">
        <v>118</v>
      </c>
      <c r="B134" s="64"/>
      <c r="C134" s="337">
        <f t="shared" ref="C134:P134" si="63">C115/C101</f>
        <v>0.21435059600538517</v>
      </c>
      <c r="D134" s="337">
        <f t="shared" si="63"/>
        <v>0.34158647415984378</v>
      </c>
      <c r="E134" s="337">
        <f t="shared" si="63"/>
        <v>0.31908315541749616</v>
      </c>
      <c r="F134" s="337">
        <f t="shared" si="63"/>
        <v>0.11610290416455907</v>
      </c>
      <c r="G134" s="337">
        <f t="shared" ref="G134" si="64">G115/G101</f>
        <v>0.40092187302147597</v>
      </c>
      <c r="H134" s="337">
        <f t="shared" si="63"/>
        <v>0.41122057893318187</v>
      </c>
      <c r="I134" s="337">
        <f t="shared" si="63"/>
        <v>0.27845886360801675</v>
      </c>
      <c r="J134" s="337">
        <f t="shared" si="63"/>
        <v>0.44032379814118794</v>
      </c>
      <c r="K134" s="337">
        <f t="shared" si="63"/>
        <v>0.26370669968916266</v>
      </c>
      <c r="L134" s="337">
        <f t="shared" si="63"/>
        <v>6.7801454020097018E-2</v>
      </c>
      <c r="M134" s="337">
        <f t="shared" si="63"/>
        <v>0.21876563399889984</v>
      </c>
      <c r="N134" s="337">
        <f t="shared" si="63"/>
        <v>1.0418262165656403E-2</v>
      </c>
      <c r="O134" s="337">
        <f t="shared" ref="O134" si="65">O115/O101</f>
        <v>0.24219110466259963</v>
      </c>
      <c r="P134" s="337">
        <f t="shared" si="63"/>
        <v>5.4360391360856811E-2</v>
      </c>
    </row>
    <row r="135" spans="1:17" ht="25.5">
      <c r="A135" s="241"/>
      <c r="B135" s="247" t="s">
        <v>119</v>
      </c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</row>
    <row r="136" spans="1:17" ht="13.5" customHeight="1">
      <c r="A136" s="248" t="s">
        <v>120</v>
      </c>
      <c r="B136" s="249"/>
      <c r="C136" s="337">
        <f t="shared" ref="C136:P136" si="66">C123/C101</f>
        <v>0.78564964253034886</v>
      </c>
      <c r="D136" s="337">
        <f t="shared" si="66"/>
        <v>0.65841327716385356</v>
      </c>
      <c r="E136" s="337">
        <f t="shared" si="66"/>
        <v>0.6809165180201171</v>
      </c>
      <c r="F136" s="337">
        <f t="shared" si="66"/>
        <v>0.88389709583544096</v>
      </c>
      <c r="G136" s="337">
        <f t="shared" ref="G136" si="67">G123/G101</f>
        <v>0.59907812697852403</v>
      </c>
      <c r="H136" s="337">
        <f t="shared" si="66"/>
        <v>0.58877945631230089</v>
      </c>
      <c r="I136" s="337">
        <f t="shared" si="66"/>
        <v>0.72154113639198325</v>
      </c>
      <c r="J136" s="337">
        <f t="shared" si="66"/>
        <v>0.55967620185881206</v>
      </c>
      <c r="K136" s="337">
        <f t="shared" si="66"/>
        <v>0.7362933003108374</v>
      </c>
      <c r="L136" s="337">
        <f t="shared" si="66"/>
        <v>0.93219854597990304</v>
      </c>
      <c r="M136" s="337">
        <f t="shared" si="66"/>
        <v>0.78123436600110019</v>
      </c>
      <c r="N136" s="337">
        <f t="shared" si="66"/>
        <v>0.98958173783434356</v>
      </c>
      <c r="O136" s="337">
        <f t="shared" ref="O136" si="68">O123/O101</f>
        <v>0.75780894660884013</v>
      </c>
      <c r="P136" s="337">
        <f t="shared" si="66"/>
        <v>0.9456396086391432</v>
      </c>
    </row>
    <row r="137" spans="1:17" ht="24">
      <c r="A137" s="241"/>
      <c r="B137" s="242" t="s">
        <v>121</v>
      </c>
      <c r="C137" s="337"/>
      <c r="D137" s="337"/>
      <c r="E137" s="337"/>
      <c r="F137" s="337"/>
      <c r="G137" s="337"/>
      <c r="H137" s="337"/>
      <c r="I137" s="337"/>
      <c r="J137" s="337"/>
      <c r="K137" s="337"/>
      <c r="L137" s="337"/>
      <c r="M137" s="337"/>
      <c r="N137" s="337"/>
      <c r="O137" s="337"/>
      <c r="P137" s="337"/>
    </row>
    <row r="138" spans="1:17" ht="13.5" customHeight="1">
      <c r="A138" s="335" t="s">
        <v>122</v>
      </c>
      <c r="B138" s="336"/>
      <c r="C138" s="337">
        <f t="shared" ref="C138:P138" si="69">C115/C123</f>
        <v>0.27283229623197469</v>
      </c>
      <c r="D138" s="337">
        <f t="shared" si="69"/>
        <v>0.51880253027588341</v>
      </c>
      <c r="E138" s="337">
        <f t="shared" si="69"/>
        <v>0.46860833446262362</v>
      </c>
      <c r="F138" s="337">
        <f t="shared" si="69"/>
        <v>0.13135341739619705</v>
      </c>
      <c r="G138" s="337">
        <f t="shared" ref="G138" si="70">G115/G123</f>
        <v>0.66923136560425345</v>
      </c>
      <c r="H138" s="337">
        <f t="shared" si="69"/>
        <v>0.69842888457552088</v>
      </c>
      <c r="I138" s="337">
        <f t="shared" si="69"/>
        <v>0.38592236750413306</v>
      </c>
      <c r="J138" s="337">
        <f t="shared" si="69"/>
        <v>0.78674740265670107</v>
      </c>
      <c r="K138" s="337">
        <f t="shared" si="69"/>
        <v>0.35815441968280148</v>
      </c>
      <c r="L138" s="337">
        <f t="shared" si="69"/>
        <v>7.2732846787296676E-2</v>
      </c>
      <c r="M138" s="337">
        <f t="shared" si="69"/>
        <v>0.28002561525639769</v>
      </c>
      <c r="N138" s="337">
        <f t="shared" si="69"/>
        <v>1.0527945057329286E-2</v>
      </c>
      <c r="O138" s="337">
        <f t="shared" ref="O138" si="71">O115/O123</f>
        <v>0.31959388411339507</v>
      </c>
      <c r="P138" s="337">
        <f t="shared" si="69"/>
        <v>5.7485315615201538E-2</v>
      </c>
    </row>
    <row r="139" spans="1:17">
      <c r="A139" s="241"/>
      <c r="B139" s="242" t="s">
        <v>123</v>
      </c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37"/>
      <c r="P139" s="337"/>
    </row>
    <row r="140" spans="1:17" s="151" customFormat="1" ht="8.1" customHeight="1">
      <c r="A140" s="156"/>
      <c r="B140" s="157"/>
      <c r="C140" s="170"/>
      <c r="D140" s="170"/>
      <c r="E140" s="170"/>
      <c r="F140" s="170"/>
      <c r="G140" s="170"/>
      <c r="H140" s="170"/>
      <c r="I140" s="170"/>
      <c r="J140" s="170"/>
      <c r="K140" s="170"/>
      <c r="L140" s="170"/>
      <c r="M140" s="170"/>
      <c r="N140" s="170"/>
      <c r="O140" s="170"/>
      <c r="P140" s="171"/>
    </row>
    <row r="141" spans="1:17" ht="13.5" customHeight="1">
      <c r="A141" s="250" t="s">
        <v>124</v>
      </c>
      <c r="B141" s="23"/>
      <c r="C141" s="89">
        <v>4</v>
      </c>
      <c r="D141" s="89">
        <v>4</v>
      </c>
      <c r="E141" s="89">
        <v>1</v>
      </c>
      <c r="F141" s="89">
        <v>10</v>
      </c>
      <c r="G141" s="89">
        <v>4</v>
      </c>
      <c r="H141" s="89">
        <v>6</v>
      </c>
      <c r="I141" s="89">
        <v>4</v>
      </c>
      <c r="J141" s="89">
        <v>4</v>
      </c>
      <c r="K141" s="89">
        <v>4</v>
      </c>
      <c r="L141" s="89">
        <v>7</v>
      </c>
      <c r="M141" s="89">
        <v>6</v>
      </c>
      <c r="N141" s="89">
        <v>8</v>
      </c>
      <c r="O141" s="89">
        <v>5</v>
      </c>
      <c r="P141" s="70">
        <v>8</v>
      </c>
      <c r="Q141" s="109">
        <f>AVERAGE(C141:P141)</f>
        <v>5.3571428571428568</v>
      </c>
    </row>
    <row r="142" spans="1:17" s="151" customFormat="1" ht="8.1" customHeight="1">
      <c r="A142" s="162"/>
      <c r="B142" s="157"/>
      <c r="C142" s="170"/>
      <c r="D142" s="170"/>
      <c r="E142" s="170"/>
      <c r="F142" s="170"/>
      <c r="G142" s="170"/>
      <c r="H142" s="170"/>
      <c r="I142" s="170"/>
      <c r="J142" s="170"/>
      <c r="K142" s="170"/>
      <c r="L142" s="170"/>
      <c r="M142" s="170"/>
      <c r="N142" s="170"/>
      <c r="O142" s="170"/>
      <c r="P142" s="171"/>
    </row>
    <row r="143" spans="1:17">
      <c r="A143" s="252" t="s">
        <v>125</v>
      </c>
      <c r="B143" s="252"/>
      <c r="C143" s="164">
        <v>39974</v>
      </c>
      <c r="D143" s="164">
        <v>39880</v>
      </c>
      <c r="E143" s="164">
        <v>45307</v>
      </c>
      <c r="F143" s="164">
        <v>38851</v>
      </c>
      <c r="G143" s="164">
        <v>18660</v>
      </c>
      <c r="H143" s="164">
        <v>28227</v>
      </c>
      <c r="I143" s="164">
        <v>19930</v>
      </c>
      <c r="J143" s="164">
        <v>37476</v>
      </c>
      <c r="K143" s="164">
        <v>67866</v>
      </c>
      <c r="L143" s="164">
        <v>28229</v>
      </c>
      <c r="M143" s="70">
        <v>43227</v>
      </c>
      <c r="N143" s="164">
        <v>18379</v>
      </c>
      <c r="O143" s="164">
        <v>10614</v>
      </c>
      <c r="P143" s="164">
        <v>9499</v>
      </c>
      <c r="Q143" s="34">
        <f>AVERAGE(C143:P143)</f>
        <v>31865.642857142859</v>
      </c>
    </row>
    <row r="144" spans="1:17">
      <c r="A144" s="251" t="s">
        <v>126</v>
      </c>
      <c r="B144" s="251"/>
      <c r="C144" s="164">
        <v>21779</v>
      </c>
      <c r="D144" s="164">
        <v>16689</v>
      </c>
      <c r="E144" s="164">
        <v>0</v>
      </c>
      <c r="F144" s="164">
        <v>15508</v>
      </c>
      <c r="G144" s="164">
        <v>6875</v>
      </c>
      <c r="H144" s="164">
        <v>7411</v>
      </c>
      <c r="I144" s="164">
        <v>18753</v>
      </c>
      <c r="J144" s="164">
        <v>21775</v>
      </c>
      <c r="K144" s="164">
        <v>2457</v>
      </c>
      <c r="L144" s="164">
        <v>32727</v>
      </c>
      <c r="M144" s="70">
        <v>17850</v>
      </c>
      <c r="N144" s="164">
        <v>12528</v>
      </c>
      <c r="O144" s="164">
        <v>1257</v>
      </c>
      <c r="P144" s="164">
        <v>3218</v>
      </c>
      <c r="Q144" s="34">
        <f>AVERAGE(C144:P144)</f>
        <v>12773.357142857143</v>
      </c>
    </row>
    <row r="145" spans="1:17">
      <c r="A145" s="251" t="s">
        <v>127</v>
      </c>
      <c r="B145" s="251"/>
      <c r="C145" s="164">
        <v>61753</v>
      </c>
      <c r="D145" s="164">
        <v>56569</v>
      </c>
      <c r="E145" s="164">
        <v>45307</v>
      </c>
      <c r="F145" s="164">
        <v>54359</v>
      </c>
      <c r="G145" s="164">
        <v>25535</v>
      </c>
      <c r="H145" s="164">
        <v>35638</v>
      </c>
      <c r="I145" s="164">
        <v>38683</v>
      </c>
      <c r="J145" s="164">
        <v>59251</v>
      </c>
      <c r="K145" s="164">
        <v>70323</v>
      </c>
      <c r="L145" s="164">
        <v>60956</v>
      </c>
      <c r="M145" s="70">
        <v>61077</v>
      </c>
      <c r="N145" s="164">
        <v>30907</v>
      </c>
      <c r="O145" s="164">
        <v>11871</v>
      </c>
      <c r="P145" s="164">
        <v>12717</v>
      </c>
      <c r="Q145" s="34">
        <f>AVERAGE(C145:P145)</f>
        <v>44639</v>
      </c>
    </row>
    <row r="147" spans="1:17">
      <c r="B147" s="48"/>
    </row>
    <row r="148" spans="1:17">
      <c r="A148" s="188"/>
      <c r="B148" s="52"/>
      <c r="N148" s="10"/>
      <c r="O148" s="10"/>
      <c r="P148" s="10"/>
    </row>
    <row r="149" spans="1:17">
      <c r="A149" s="188"/>
      <c r="B149" s="52"/>
      <c r="N149" s="10"/>
      <c r="O149" s="10"/>
      <c r="P149" s="10"/>
    </row>
  </sheetData>
  <mergeCells count="102">
    <mergeCell ref="P136:P137"/>
    <mergeCell ref="D138:D139"/>
    <mergeCell ref="E138:E139"/>
    <mergeCell ref="F138:F139"/>
    <mergeCell ref="G138:G139"/>
    <mergeCell ref="H138:H139"/>
    <mergeCell ref="I138:I139"/>
    <mergeCell ref="J138:J139"/>
    <mergeCell ref="K138:K139"/>
    <mergeCell ref="L138:L139"/>
    <mergeCell ref="M138:M139"/>
    <mergeCell ref="N138:N139"/>
    <mergeCell ref="O138:O139"/>
    <mergeCell ref="P138:P139"/>
    <mergeCell ref="K136:K137"/>
    <mergeCell ref="L136:L137"/>
    <mergeCell ref="M136:M137"/>
    <mergeCell ref="N136:N137"/>
    <mergeCell ref="O136:O137"/>
    <mergeCell ref="F136:F137"/>
    <mergeCell ref="G136:G137"/>
    <mergeCell ref="H136:H137"/>
    <mergeCell ref="I136:I137"/>
    <mergeCell ref="J136:J137"/>
    <mergeCell ref="O127:O128"/>
    <mergeCell ref="F127:F128"/>
    <mergeCell ref="G127:G128"/>
    <mergeCell ref="H127:H128"/>
    <mergeCell ref="I127:I128"/>
    <mergeCell ref="J127:J128"/>
    <mergeCell ref="O131:O132"/>
    <mergeCell ref="F131:F132"/>
    <mergeCell ref="G131:G132"/>
    <mergeCell ref="H131:H132"/>
    <mergeCell ref="I131:I132"/>
    <mergeCell ref="J131:J132"/>
    <mergeCell ref="P131:P132"/>
    <mergeCell ref="D134:D135"/>
    <mergeCell ref="E134:E135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O134:O135"/>
    <mergeCell ref="P134:P135"/>
    <mergeCell ref="K131:K132"/>
    <mergeCell ref="L131:L132"/>
    <mergeCell ref="M131:M132"/>
    <mergeCell ref="N131:N132"/>
    <mergeCell ref="D127:D128"/>
    <mergeCell ref="E127:E128"/>
    <mergeCell ref="D131:D132"/>
    <mergeCell ref="E131:E132"/>
    <mergeCell ref="D136:D137"/>
    <mergeCell ref="E136:E137"/>
    <mergeCell ref="P127:P128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L129:L130"/>
    <mergeCell ref="M129:M130"/>
    <mergeCell ref="N129:N130"/>
    <mergeCell ref="O129:O130"/>
    <mergeCell ref="P129:P130"/>
    <mergeCell ref="K127:K128"/>
    <mergeCell ref="L127:L128"/>
    <mergeCell ref="M127:M128"/>
    <mergeCell ref="N127:N128"/>
    <mergeCell ref="N2:N3"/>
    <mergeCell ref="O2:O3"/>
    <mergeCell ref="P2:P3"/>
    <mergeCell ref="L2:L3"/>
    <mergeCell ref="M2:M3"/>
    <mergeCell ref="A138:B138"/>
    <mergeCell ref="H2:H3"/>
    <mergeCell ref="I2:I3"/>
    <mergeCell ref="J2:J3"/>
    <mergeCell ref="K2:K3"/>
    <mergeCell ref="A1:B3"/>
    <mergeCell ref="C2:C3"/>
    <mergeCell ref="D2:D3"/>
    <mergeCell ref="E2:E3"/>
    <mergeCell ref="F2:F3"/>
    <mergeCell ref="G2:G3"/>
    <mergeCell ref="A81:B82"/>
    <mergeCell ref="A127:B127"/>
    <mergeCell ref="C127:C128"/>
    <mergeCell ref="C129:C130"/>
    <mergeCell ref="C131:C132"/>
    <mergeCell ref="C134:C135"/>
    <mergeCell ref="C136:C137"/>
    <mergeCell ref="C138:C139"/>
  </mergeCells>
  <conditionalFormatting sqref="C127:F128 H127:N128">
    <cfRule type="cellIs" dxfId="33" priority="12" operator="lessThan">
      <formula>0</formula>
    </cfRule>
  </conditionalFormatting>
  <conditionalFormatting sqref="C69:F69 H69:N69">
    <cfRule type="cellIs" dxfId="32" priority="11" operator="lessThan">
      <formula>0</formula>
    </cfRule>
  </conditionalFormatting>
  <conditionalFormatting sqref="G69">
    <cfRule type="cellIs" dxfId="31" priority="8" operator="lessThan">
      <formula>0</formula>
    </cfRule>
  </conditionalFormatting>
  <conditionalFormatting sqref="G127:G128">
    <cfRule type="cellIs" dxfId="30" priority="7" operator="lessThan">
      <formula>0</formula>
    </cfRule>
  </conditionalFormatting>
  <conditionalFormatting sqref="O69">
    <cfRule type="cellIs" dxfId="29" priority="4" operator="lessThan">
      <formula>0</formula>
    </cfRule>
  </conditionalFormatting>
  <conditionalFormatting sqref="O127:O128">
    <cfRule type="cellIs" dxfId="28" priority="3" operator="lessThan">
      <formula>0</formula>
    </cfRule>
  </conditionalFormatting>
  <conditionalFormatting sqref="P127:P128">
    <cfRule type="cellIs" dxfId="27" priority="2" operator="lessThan">
      <formula>0</formula>
    </cfRule>
  </conditionalFormatting>
  <conditionalFormatting sqref="P69">
    <cfRule type="cellIs" dxfId="26" priority="1" operator="lessThan">
      <formula>0</formula>
    </cfRule>
  </conditionalFormatting>
  <printOptions horizontalCentered="1"/>
  <pageMargins left="0.5" right="0.5" top="0.75" bottom="0.35" header="0.5" footer="0.15"/>
  <pageSetup scale="63" fitToHeight="0" orientation="portrait" r:id="rId1"/>
  <headerFooter alignWithMargins="0">
    <oddHeader>&amp;C&amp;"Arial,Bold"&amp;14CLASS III+ FAIRS</oddHeader>
    <oddFooter>&amp;CFairs and Expositions</oddFooter>
  </headerFooter>
  <rowBreaks count="1" manualBreakCount="1">
    <brk id="80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49"/>
  <sheetViews>
    <sheetView view="pageBreakPreview" zoomScale="85" zoomScaleNormal="10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B61" sqref="B61"/>
    </sheetView>
  </sheetViews>
  <sheetFormatPr defaultRowHeight="12.75"/>
  <cols>
    <col min="1" max="1" width="4.7109375" style="10" customWidth="1"/>
    <col min="2" max="2" width="56.42578125" style="10" customWidth="1"/>
    <col min="3" max="4" width="12.7109375" style="10" customWidth="1"/>
    <col min="5" max="6" width="12.7109375" style="48" customWidth="1"/>
    <col min="7" max="8" width="12.7109375" style="10" customWidth="1"/>
    <col min="9" max="10" width="12.7109375" style="48" customWidth="1"/>
    <col min="11" max="11" width="14.42578125" style="95" customWidth="1"/>
    <col min="12" max="12" width="13.28515625" style="10" customWidth="1"/>
    <col min="13" max="13" width="10.7109375" style="10" bestFit="1" customWidth="1"/>
    <col min="14" max="16384" width="9.140625" style="10"/>
  </cols>
  <sheetData>
    <row r="1" spans="1:12" ht="12" customHeight="1">
      <c r="A1" s="318"/>
      <c r="B1" s="319"/>
      <c r="C1" s="260"/>
      <c r="D1" s="260"/>
      <c r="E1" s="260"/>
      <c r="F1" s="260"/>
      <c r="G1" s="260"/>
      <c r="H1" s="260"/>
      <c r="I1" s="260"/>
      <c r="J1" s="260"/>
    </row>
    <row r="2" spans="1:12" ht="12" customHeight="1">
      <c r="A2" s="320"/>
      <c r="B2" s="321"/>
      <c r="C2" s="327" t="s">
        <v>163</v>
      </c>
      <c r="D2" s="327" t="s">
        <v>164</v>
      </c>
      <c r="E2" s="327" t="s">
        <v>165</v>
      </c>
      <c r="F2" s="327" t="s">
        <v>166</v>
      </c>
      <c r="G2" s="327" t="s">
        <v>167</v>
      </c>
      <c r="H2" s="327" t="s">
        <v>168</v>
      </c>
      <c r="I2" s="324" t="s">
        <v>225</v>
      </c>
      <c r="J2" s="327" t="s">
        <v>213</v>
      </c>
    </row>
    <row r="3" spans="1:12" ht="69" customHeight="1">
      <c r="A3" s="322"/>
      <c r="B3" s="323"/>
      <c r="C3" s="328"/>
      <c r="D3" s="328"/>
      <c r="E3" s="328"/>
      <c r="F3" s="328"/>
      <c r="G3" s="328"/>
      <c r="H3" s="328"/>
      <c r="I3" s="325"/>
      <c r="J3" s="328"/>
      <c r="L3" s="10" t="s">
        <v>39</v>
      </c>
    </row>
    <row r="4" spans="1:12" ht="13.5" customHeight="1">
      <c r="A4" s="262" t="s">
        <v>227</v>
      </c>
      <c r="B4" s="12"/>
      <c r="C4" s="38"/>
      <c r="D4" s="38"/>
      <c r="E4" s="39"/>
      <c r="F4" s="39"/>
      <c r="G4" s="38"/>
      <c r="H4" s="38"/>
      <c r="I4" s="39"/>
      <c r="J4" s="39"/>
    </row>
    <row r="5" spans="1:12" ht="13.5" customHeight="1">
      <c r="A5" s="262"/>
      <c r="B5" s="12" t="s">
        <v>40</v>
      </c>
      <c r="C5" s="14">
        <v>-31323</v>
      </c>
      <c r="D5" s="14">
        <v>563144</v>
      </c>
      <c r="E5" s="14">
        <v>-311462.99</v>
      </c>
      <c r="F5" s="14">
        <v>974759</v>
      </c>
      <c r="G5" s="14">
        <v>276253</v>
      </c>
      <c r="H5" s="14">
        <v>151017</v>
      </c>
      <c r="I5" s="14">
        <v>404539</v>
      </c>
      <c r="J5" s="288">
        <v>461647</v>
      </c>
    </row>
    <row r="6" spans="1:12" ht="13.5" customHeight="1">
      <c r="A6" s="262"/>
      <c r="B6" s="12" t="s">
        <v>214</v>
      </c>
      <c r="C6" s="30">
        <v>-766933</v>
      </c>
      <c r="D6" s="30">
        <v>-1106804</v>
      </c>
      <c r="E6" s="30">
        <v>-1011280.49</v>
      </c>
      <c r="F6" s="30">
        <v>-253773</v>
      </c>
      <c r="G6" s="30">
        <v>-781898</v>
      </c>
      <c r="H6" s="30">
        <v>-474659</v>
      </c>
      <c r="I6" s="30">
        <v>-1087425</v>
      </c>
      <c r="J6" s="17">
        <v>0</v>
      </c>
    </row>
    <row r="7" spans="1:12" ht="13.5" customHeight="1">
      <c r="A7" s="262"/>
      <c r="B7" s="12" t="s">
        <v>41</v>
      </c>
      <c r="C7" s="30">
        <v>1861.01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17">
        <v>0</v>
      </c>
    </row>
    <row r="8" spans="1:12" ht="13.5" customHeight="1">
      <c r="A8" s="262"/>
      <c r="B8" s="12" t="s">
        <v>42</v>
      </c>
      <c r="C8" s="30">
        <v>2361911</v>
      </c>
      <c r="D8" s="30">
        <v>3524601</v>
      </c>
      <c r="E8" s="30">
        <v>2052433.08</v>
      </c>
      <c r="F8" s="19">
        <v>1536156</v>
      </c>
      <c r="G8" s="19">
        <v>1832898</v>
      </c>
      <c r="H8" s="19">
        <v>2027950</v>
      </c>
      <c r="I8" s="19">
        <v>3978661</v>
      </c>
      <c r="J8" s="17">
        <v>2352872</v>
      </c>
    </row>
    <row r="9" spans="1:12" ht="13.5" customHeight="1">
      <c r="A9" s="262"/>
      <c r="B9" s="12" t="s">
        <v>226</v>
      </c>
      <c r="C9" s="30">
        <v>-18208</v>
      </c>
      <c r="D9" s="30">
        <v>0</v>
      </c>
      <c r="E9" s="30">
        <v>0</v>
      </c>
      <c r="F9" s="19">
        <v>0</v>
      </c>
      <c r="G9" s="19">
        <v>0</v>
      </c>
      <c r="H9" s="19">
        <v>46965</v>
      </c>
      <c r="I9" s="19">
        <v>-39270</v>
      </c>
      <c r="J9" s="19">
        <v>0</v>
      </c>
      <c r="L9" s="20">
        <f>SUM(C9:I9)</f>
        <v>-10513</v>
      </c>
    </row>
    <row r="10" spans="1:12" s="22" customFormat="1" ht="13.5" customHeight="1" thickBot="1">
      <c r="A10" s="263"/>
      <c r="B10" s="98" t="s">
        <v>43</v>
      </c>
      <c r="C10" s="67">
        <f>SUM(C5:C9)</f>
        <v>1547308.01</v>
      </c>
      <c r="D10" s="67">
        <f t="shared" ref="D10:I10" si="0">SUM(D5:D9)</f>
        <v>2980941</v>
      </c>
      <c r="E10" s="67">
        <f t="shared" si="0"/>
        <v>729689.60000000009</v>
      </c>
      <c r="F10" s="67">
        <f t="shared" si="0"/>
        <v>2257142</v>
      </c>
      <c r="G10" s="67">
        <f t="shared" si="0"/>
        <v>1327253</v>
      </c>
      <c r="H10" s="67">
        <f t="shared" si="0"/>
        <v>1751273</v>
      </c>
      <c r="I10" s="67">
        <f t="shared" si="0"/>
        <v>3256505</v>
      </c>
      <c r="J10" s="67">
        <f t="shared" ref="J10" si="1">SUM(J5:J9)</f>
        <v>2814519</v>
      </c>
      <c r="K10" s="80"/>
      <c r="L10" s="20">
        <f>SUM(C10:I10)</f>
        <v>13850111.609999999</v>
      </c>
    </row>
    <row r="11" spans="1:12" s="22" customFormat="1" ht="13.5" customHeight="1">
      <c r="A11" s="241" t="s">
        <v>44</v>
      </c>
      <c r="B11" s="36"/>
      <c r="C11" s="42"/>
      <c r="D11" s="42"/>
      <c r="E11" s="42"/>
      <c r="F11" s="42"/>
      <c r="G11" s="42"/>
      <c r="H11" s="42"/>
      <c r="I11" s="42"/>
      <c r="J11" s="42"/>
      <c r="K11" s="80"/>
    </row>
    <row r="12" spans="1:12" s="22" customFormat="1" ht="13.5" customHeight="1">
      <c r="A12" s="264"/>
      <c r="B12" s="23" t="s">
        <v>45</v>
      </c>
      <c r="C12" s="24">
        <v>35644</v>
      </c>
      <c r="D12" s="24">
        <v>35644</v>
      </c>
      <c r="E12" s="24">
        <v>35644</v>
      </c>
      <c r="F12" s="24">
        <v>35644</v>
      </c>
      <c r="G12" s="24">
        <v>35644</v>
      </c>
      <c r="H12" s="24">
        <v>35644</v>
      </c>
      <c r="I12" s="24">
        <v>35644</v>
      </c>
      <c r="J12" s="24">
        <v>35644</v>
      </c>
      <c r="K12" s="80"/>
      <c r="L12" s="20">
        <f t="shared" ref="L12:L13" si="2">SUM(C12:I12)</f>
        <v>249508</v>
      </c>
    </row>
    <row r="13" spans="1:12" s="22" customFormat="1" ht="13.5" customHeight="1">
      <c r="A13" s="264"/>
      <c r="B13" s="23" t="s">
        <v>46</v>
      </c>
      <c r="C13" s="24">
        <v>97216.2</v>
      </c>
      <c r="D13" s="24">
        <v>149231.72</v>
      </c>
      <c r="E13" s="24">
        <v>32630</v>
      </c>
      <c r="F13" s="24">
        <v>0</v>
      </c>
      <c r="G13" s="24">
        <v>2258</v>
      </c>
      <c r="H13" s="24">
        <v>482645</v>
      </c>
      <c r="I13" s="24">
        <v>346238</v>
      </c>
      <c r="J13" s="24">
        <v>2258</v>
      </c>
      <c r="K13" s="80"/>
      <c r="L13" s="20">
        <f t="shared" si="2"/>
        <v>1110218.92</v>
      </c>
    </row>
    <row r="14" spans="1:12" s="22" customFormat="1" ht="13.5" customHeight="1" thickBot="1">
      <c r="A14" s="265"/>
      <c r="B14" s="32" t="s">
        <v>47</v>
      </c>
      <c r="C14" s="33">
        <v>35422</v>
      </c>
      <c r="D14" s="33">
        <v>0</v>
      </c>
      <c r="E14" s="33">
        <f>2062.73+128145</f>
        <v>130207.73</v>
      </c>
      <c r="F14" s="33">
        <v>0</v>
      </c>
      <c r="G14" s="33">
        <v>48852</v>
      </c>
      <c r="H14" s="33">
        <v>0</v>
      </c>
      <c r="I14" s="33">
        <v>14000</v>
      </c>
      <c r="J14" s="33">
        <v>0</v>
      </c>
      <c r="K14" s="80"/>
      <c r="L14" s="20">
        <f>SUM(C14:I14)</f>
        <v>228481.72999999998</v>
      </c>
    </row>
    <row r="15" spans="1:12" ht="13.5" customHeight="1">
      <c r="A15" s="266" t="s">
        <v>48</v>
      </c>
      <c r="B15" s="25"/>
      <c r="C15" s="27"/>
      <c r="D15" s="27"/>
      <c r="E15" s="28"/>
      <c r="F15" s="28"/>
      <c r="G15" s="27"/>
      <c r="H15" s="27"/>
      <c r="I15" s="28"/>
      <c r="J15" s="28"/>
    </row>
    <row r="16" spans="1:12" ht="13.5" customHeight="1">
      <c r="A16" s="267"/>
      <c r="B16" s="29" t="s">
        <v>49</v>
      </c>
      <c r="C16" s="30">
        <v>252472</v>
      </c>
      <c r="D16" s="30">
        <v>412963.5</v>
      </c>
      <c r="E16" s="19">
        <v>187315</v>
      </c>
      <c r="F16" s="19">
        <v>457706</v>
      </c>
      <c r="G16" s="30">
        <v>382099</v>
      </c>
      <c r="H16" s="30">
        <v>363421</v>
      </c>
      <c r="I16" s="19">
        <v>515709</v>
      </c>
      <c r="J16" s="19">
        <v>1449714</v>
      </c>
    </row>
    <row r="17" spans="1:14" ht="13.5" customHeight="1">
      <c r="A17" s="267"/>
      <c r="B17" s="29" t="s">
        <v>50</v>
      </c>
      <c r="C17" s="30">
        <v>42258</v>
      </c>
      <c r="D17" s="30">
        <v>106467</v>
      </c>
      <c r="E17" s="19">
        <v>14700</v>
      </c>
      <c r="F17" s="19">
        <v>64421</v>
      </c>
      <c r="G17" s="30">
        <v>138400</v>
      </c>
      <c r="H17" s="30">
        <v>49240</v>
      </c>
      <c r="I17" s="19">
        <v>94275</v>
      </c>
      <c r="J17" s="19">
        <v>175695</v>
      </c>
    </row>
    <row r="18" spans="1:14" ht="13.5" customHeight="1">
      <c r="A18" s="267"/>
      <c r="B18" s="29" t="s">
        <v>51</v>
      </c>
      <c r="C18" s="30">
        <v>203597</v>
      </c>
      <c r="D18" s="30">
        <v>270503.40000000002</v>
      </c>
      <c r="E18" s="19">
        <v>347296.03</v>
      </c>
      <c r="F18" s="19">
        <v>402019</v>
      </c>
      <c r="G18" s="30">
        <v>238914</v>
      </c>
      <c r="H18" s="30">
        <v>219046</v>
      </c>
      <c r="I18" s="19">
        <v>285199</v>
      </c>
      <c r="J18" s="19">
        <v>5444</v>
      </c>
    </row>
    <row r="19" spans="1:14" ht="13.5" customHeight="1">
      <c r="A19" s="267"/>
      <c r="B19" s="29" t="s">
        <v>52</v>
      </c>
      <c r="C19" s="30">
        <v>177918</v>
      </c>
      <c r="D19" s="30">
        <v>219645</v>
      </c>
      <c r="E19" s="19">
        <v>0</v>
      </c>
      <c r="F19" s="19">
        <v>224809</v>
      </c>
      <c r="G19" s="30">
        <v>201626</v>
      </c>
      <c r="H19" s="30">
        <v>161769</v>
      </c>
      <c r="I19" s="19">
        <v>210765</v>
      </c>
      <c r="J19" s="19">
        <v>347421</v>
      </c>
    </row>
    <row r="20" spans="1:14" ht="13.5" customHeight="1">
      <c r="A20" s="267"/>
      <c r="B20" s="29" t="s">
        <v>53</v>
      </c>
      <c r="C20" s="30">
        <v>23296</v>
      </c>
      <c r="D20" s="30">
        <v>22458.73</v>
      </c>
      <c r="E20" s="19">
        <v>7071.17</v>
      </c>
      <c r="F20" s="19">
        <v>69246</v>
      </c>
      <c r="G20" s="30">
        <v>19105</v>
      </c>
      <c r="H20" s="30">
        <v>30468</v>
      </c>
      <c r="I20" s="19">
        <v>82764</v>
      </c>
      <c r="J20" s="19">
        <v>91844</v>
      </c>
    </row>
    <row r="21" spans="1:14" ht="13.5" customHeight="1">
      <c r="A21" s="267"/>
      <c r="B21" s="29" t="s">
        <v>54</v>
      </c>
      <c r="C21" s="30">
        <v>0</v>
      </c>
      <c r="D21" s="30">
        <v>296116.81</v>
      </c>
      <c r="E21" s="19">
        <f>248166.55+67981.91</f>
        <v>316148.45999999996</v>
      </c>
      <c r="F21" s="19">
        <v>0</v>
      </c>
      <c r="G21" s="30">
        <v>1352</v>
      </c>
      <c r="H21" s="30">
        <v>1165</v>
      </c>
      <c r="I21" s="19">
        <v>0</v>
      </c>
      <c r="J21" s="19">
        <v>0</v>
      </c>
    </row>
    <row r="22" spans="1:14" ht="13.5" customHeight="1">
      <c r="A22" s="267"/>
      <c r="B22" s="29" t="s">
        <v>55</v>
      </c>
      <c r="C22" s="31">
        <v>0</v>
      </c>
      <c r="D22" s="31">
        <v>0</v>
      </c>
      <c r="E22" s="17">
        <v>0</v>
      </c>
      <c r="F22" s="17">
        <v>0</v>
      </c>
      <c r="G22" s="31">
        <v>0</v>
      </c>
      <c r="H22" s="31">
        <v>0</v>
      </c>
      <c r="I22" s="17">
        <v>0</v>
      </c>
      <c r="J22" s="17">
        <v>0</v>
      </c>
    </row>
    <row r="23" spans="1:14" ht="13.5" customHeight="1">
      <c r="A23" s="267"/>
      <c r="B23" s="29" t="s">
        <v>56</v>
      </c>
      <c r="C23" s="30">
        <v>256118</v>
      </c>
      <c r="D23" s="30">
        <v>0</v>
      </c>
      <c r="E23" s="19">
        <v>0</v>
      </c>
      <c r="F23" s="19">
        <v>0</v>
      </c>
      <c r="G23" s="30">
        <v>308719</v>
      </c>
      <c r="H23" s="30">
        <v>0</v>
      </c>
      <c r="I23" s="19">
        <v>0</v>
      </c>
      <c r="J23" s="19">
        <v>0</v>
      </c>
    </row>
    <row r="24" spans="1:14" ht="13.5" customHeight="1">
      <c r="A24" s="267"/>
      <c r="B24" s="29" t="s">
        <v>57</v>
      </c>
      <c r="C24" s="30">
        <v>0</v>
      </c>
      <c r="D24" s="30">
        <v>125739</v>
      </c>
      <c r="E24" s="19">
        <v>0</v>
      </c>
      <c r="F24" s="19">
        <v>113502</v>
      </c>
      <c r="G24" s="30">
        <v>52435</v>
      </c>
      <c r="H24" s="30">
        <v>29210</v>
      </c>
      <c r="I24" s="19">
        <v>9715</v>
      </c>
      <c r="J24" s="19">
        <v>47955</v>
      </c>
    </row>
    <row r="25" spans="1:14" ht="13.5" customHeight="1">
      <c r="A25" s="267"/>
      <c r="B25" s="29" t="s">
        <v>58</v>
      </c>
      <c r="C25" s="30">
        <v>0</v>
      </c>
      <c r="D25" s="30">
        <v>0</v>
      </c>
      <c r="E25" s="19">
        <v>0</v>
      </c>
      <c r="F25" s="19">
        <v>0</v>
      </c>
      <c r="G25" s="30">
        <v>0</v>
      </c>
      <c r="H25" s="30">
        <v>34031</v>
      </c>
      <c r="I25" s="19">
        <v>0</v>
      </c>
      <c r="J25" s="19">
        <v>0</v>
      </c>
    </row>
    <row r="26" spans="1:14" ht="13.5" customHeight="1">
      <c r="A26" s="267"/>
      <c r="B26" s="29" t="s">
        <v>59</v>
      </c>
      <c r="C26" s="30">
        <v>0</v>
      </c>
      <c r="D26" s="30">
        <v>0</v>
      </c>
      <c r="E26" s="19">
        <v>0</v>
      </c>
      <c r="F26" s="19">
        <v>0</v>
      </c>
      <c r="G26" s="30">
        <v>12030</v>
      </c>
      <c r="H26" s="30">
        <v>0</v>
      </c>
      <c r="I26" s="19">
        <v>0</v>
      </c>
      <c r="J26" s="19">
        <v>0</v>
      </c>
    </row>
    <row r="27" spans="1:14" ht="13.5" customHeight="1">
      <c r="A27" s="267"/>
      <c r="B27" s="29" t="s">
        <v>60</v>
      </c>
      <c r="C27" s="30">
        <v>170111</v>
      </c>
      <c r="D27" s="30">
        <v>232089</v>
      </c>
      <c r="E27" s="19">
        <v>72037.87</v>
      </c>
      <c r="F27" s="19">
        <v>275540</v>
      </c>
      <c r="G27" s="30">
        <v>221657</v>
      </c>
      <c r="H27" s="30">
        <v>259270</v>
      </c>
      <c r="I27" s="19">
        <v>258575</v>
      </c>
      <c r="J27" s="19">
        <v>441993</v>
      </c>
    </row>
    <row r="28" spans="1:14" ht="13.5" customHeight="1">
      <c r="A28" s="267"/>
      <c r="B28" s="29" t="s">
        <v>148</v>
      </c>
      <c r="C28" s="30">
        <v>454066</v>
      </c>
      <c r="D28" s="30">
        <v>0</v>
      </c>
      <c r="E28" s="19">
        <v>0</v>
      </c>
      <c r="F28" s="19">
        <v>74330</v>
      </c>
      <c r="G28" s="30">
        <v>0</v>
      </c>
      <c r="H28" s="30">
        <v>0</v>
      </c>
      <c r="I28" s="19">
        <v>512006</v>
      </c>
      <c r="J28" s="19">
        <v>0</v>
      </c>
    </row>
    <row r="29" spans="1:14" ht="13.5" customHeight="1">
      <c r="A29" s="267"/>
      <c r="B29" s="29" t="s">
        <v>62</v>
      </c>
      <c r="C29" s="30">
        <v>641886</v>
      </c>
      <c r="D29" s="30">
        <v>760568.25</v>
      </c>
      <c r="E29" s="19">
        <v>1143069.24</v>
      </c>
      <c r="F29" s="19">
        <v>273494</v>
      </c>
      <c r="G29" s="30">
        <v>558347</v>
      </c>
      <c r="H29" s="30">
        <v>730314</v>
      </c>
      <c r="I29" s="19">
        <v>594962</v>
      </c>
      <c r="J29" s="19">
        <v>23054</v>
      </c>
      <c r="L29" s="20">
        <f t="shared" ref="L29:L41" si="3">SUM(C29:I29)</f>
        <v>4702640.49</v>
      </c>
    </row>
    <row r="30" spans="1:14" ht="13.5" customHeight="1">
      <c r="A30" s="267"/>
      <c r="B30" s="29" t="s">
        <v>63</v>
      </c>
      <c r="C30" s="30">
        <v>-2153</v>
      </c>
      <c r="D30" s="30">
        <v>1260</v>
      </c>
      <c r="E30" s="19">
        <v>7519.52</v>
      </c>
      <c r="F30" s="19">
        <v>20134</v>
      </c>
      <c r="G30" s="30">
        <v>27931</v>
      </c>
      <c r="H30" s="30">
        <v>-329</v>
      </c>
      <c r="I30" s="19">
        <v>7188</v>
      </c>
      <c r="J30" s="19">
        <v>14546</v>
      </c>
      <c r="L30" s="20">
        <f t="shared" si="3"/>
        <v>61550.520000000004</v>
      </c>
    </row>
    <row r="31" spans="1:14" ht="13.5" customHeight="1">
      <c r="A31" s="267"/>
      <c r="B31" s="29" t="s">
        <v>64</v>
      </c>
      <c r="C31" s="31">
        <v>24794</v>
      </c>
      <c r="D31" s="31">
        <v>46535.35</v>
      </c>
      <c r="E31" s="17">
        <v>26430.01</v>
      </c>
      <c r="F31" s="17">
        <v>1460</v>
      </c>
      <c r="G31" s="31">
        <v>97355</v>
      </c>
      <c r="H31" s="31">
        <v>11886</v>
      </c>
      <c r="I31" s="17">
        <v>3173</v>
      </c>
      <c r="J31" s="17">
        <v>257376</v>
      </c>
      <c r="L31" s="20">
        <f t="shared" si="3"/>
        <v>211633.36</v>
      </c>
      <c r="M31" s="20">
        <f>+L31+L30+L9</f>
        <v>262670.88</v>
      </c>
      <c r="N31" s="10" t="s">
        <v>65</v>
      </c>
    </row>
    <row r="32" spans="1:14" s="22" customFormat="1" ht="13.5" customHeight="1" thickBot="1">
      <c r="A32" s="263" t="s">
        <v>66</v>
      </c>
      <c r="B32" s="32"/>
      <c r="C32" s="33">
        <f t="shared" ref="C32:I32" si="4">SUM(C16:C31)</f>
        <v>2244363</v>
      </c>
      <c r="D32" s="33">
        <f t="shared" si="4"/>
        <v>2494346.04</v>
      </c>
      <c r="E32" s="33">
        <f t="shared" si="4"/>
        <v>2121587.2999999998</v>
      </c>
      <c r="F32" s="33">
        <f t="shared" si="4"/>
        <v>1976661</v>
      </c>
      <c r="G32" s="33">
        <f t="shared" si="4"/>
        <v>2259970</v>
      </c>
      <c r="H32" s="33">
        <f t="shared" si="4"/>
        <v>1889491</v>
      </c>
      <c r="I32" s="33">
        <f t="shared" si="4"/>
        <v>2574331</v>
      </c>
      <c r="J32" s="33">
        <f t="shared" ref="J32" si="5">SUM(J16:J31)</f>
        <v>2855042</v>
      </c>
      <c r="K32" s="110">
        <f>AVERAGE(C32:J32)</f>
        <v>2301973.9175</v>
      </c>
      <c r="L32" s="20">
        <f t="shared" si="3"/>
        <v>15560749.34</v>
      </c>
    </row>
    <row r="33" spans="1:12" ht="13.5" customHeight="1">
      <c r="A33" s="266" t="s">
        <v>68</v>
      </c>
      <c r="B33" s="25"/>
      <c r="C33" s="27"/>
      <c r="D33" s="27"/>
      <c r="E33" s="28"/>
      <c r="F33" s="28"/>
      <c r="G33" s="27"/>
      <c r="H33" s="27"/>
      <c r="I33" s="28"/>
      <c r="J33" s="28"/>
    </row>
    <row r="34" spans="1:12" ht="13.5" customHeight="1">
      <c r="A34" s="267"/>
      <c r="B34" s="29" t="s">
        <v>69</v>
      </c>
      <c r="C34" s="30">
        <v>482526</v>
      </c>
      <c r="D34" s="30">
        <v>703102.13</v>
      </c>
      <c r="E34" s="19">
        <v>477085.08</v>
      </c>
      <c r="F34" s="19">
        <v>390929</v>
      </c>
      <c r="G34" s="30">
        <v>469358</v>
      </c>
      <c r="H34" s="30">
        <v>395681</v>
      </c>
      <c r="I34" s="19">
        <v>597233</v>
      </c>
      <c r="J34" s="19">
        <v>163863</v>
      </c>
      <c r="L34" s="20">
        <f t="shared" si="3"/>
        <v>3515914.21</v>
      </c>
    </row>
    <row r="35" spans="1:12" ht="13.5" customHeight="1">
      <c r="A35" s="267"/>
      <c r="B35" s="29" t="s">
        <v>70</v>
      </c>
      <c r="C35" s="30">
        <v>573154</v>
      </c>
      <c r="D35" s="30">
        <v>746790.37</v>
      </c>
      <c r="E35" s="19">
        <v>589212.1</v>
      </c>
      <c r="F35" s="19">
        <v>562358</v>
      </c>
      <c r="G35" s="30">
        <v>476728</v>
      </c>
      <c r="H35" s="30">
        <v>641816</v>
      </c>
      <c r="I35" s="19">
        <v>635614</v>
      </c>
      <c r="J35" s="19">
        <v>629353</v>
      </c>
      <c r="L35" s="20">
        <f t="shared" si="3"/>
        <v>4225672.4700000007</v>
      </c>
    </row>
    <row r="36" spans="1:12" ht="13.5" customHeight="1">
      <c r="A36" s="267"/>
      <c r="B36" s="29" t="s">
        <v>71</v>
      </c>
      <c r="C36" s="30">
        <v>105762</v>
      </c>
      <c r="D36" s="30">
        <v>22279.49</v>
      </c>
      <c r="E36" s="19">
        <v>64217.04</v>
      </c>
      <c r="F36" s="19">
        <v>113511</v>
      </c>
      <c r="G36" s="30">
        <v>163334</v>
      </c>
      <c r="H36" s="30">
        <v>150507</v>
      </c>
      <c r="I36" s="19">
        <v>80609</v>
      </c>
      <c r="J36" s="19">
        <v>211560</v>
      </c>
      <c r="L36" s="20">
        <f t="shared" si="3"/>
        <v>700219.53</v>
      </c>
    </row>
    <row r="37" spans="1:12" ht="13.5" customHeight="1">
      <c r="A37" s="267"/>
      <c r="B37" s="29" t="s">
        <v>72</v>
      </c>
      <c r="C37" s="30">
        <v>28035</v>
      </c>
      <c r="D37" s="30">
        <v>210932</v>
      </c>
      <c r="E37" s="19">
        <v>80078.05</v>
      </c>
      <c r="F37" s="19">
        <v>90119</v>
      </c>
      <c r="G37" s="30">
        <v>132148</v>
      </c>
      <c r="H37" s="30">
        <v>171002</v>
      </c>
      <c r="I37" s="19">
        <v>217958</v>
      </c>
      <c r="J37" s="19">
        <v>317542</v>
      </c>
      <c r="L37" s="20">
        <f t="shared" si="3"/>
        <v>930272.05</v>
      </c>
    </row>
    <row r="38" spans="1:12" ht="13.5" customHeight="1">
      <c r="A38" s="267"/>
      <c r="B38" s="29" t="s">
        <v>60</v>
      </c>
      <c r="C38" s="30">
        <v>95829</v>
      </c>
      <c r="D38" s="30">
        <v>79392</v>
      </c>
      <c r="E38" s="19">
        <v>84155.5</v>
      </c>
      <c r="F38" s="19">
        <v>111452</v>
      </c>
      <c r="G38" s="30">
        <v>194565</v>
      </c>
      <c r="H38" s="30">
        <v>95183</v>
      </c>
      <c r="I38" s="19">
        <v>125345</v>
      </c>
      <c r="J38" s="19">
        <v>67628</v>
      </c>
      <c r="L38" s="20">
        <f t="shared" si="3"/>
        <v>785921.5</v>
      </c>
    </row>
    <row r="39" spans="1:12" ht="13.5" customHeight="1">
      <c r="A39" s="267"/>
      <c r="B39" s="29" t="s">
        <v>73</v>
      </c>
      <c r="C39" s="30">
        <v>130751</v>
      </c>
      <c r="D39" s="30">
        <v>146692.31</v>
      </c>
      <c r="E39" s="19">
        <v>281889.46000000002</v>
      </c>
      <c r="F39" s="19">
        <v>82531</v>
      </c>
      <c r="G39" s="30">
        <v>55881</v>
      </c>
      <c r="H39" s="30">
        <v>0</v>
      </c>
      <c r="I39" s="19">
        <v>268900</v>
      </c>
      <c r="J39" s="19">
        <v>1815</v>
      </c>
      <c r="L39" s="20">
        <f t="shared" si="3"/>
        <v>966644.77</v>
      </c>
    </row>
    <row r="40" spans="1:12" ht="13.5" customHeight="1">
      <c r="A40" s="267"/>
      <c r="B40" s="29" t="s">
        <v>74</v>
      </c>
      <c r="C40" s="30">
        <v>35003</v>
      </c>
      <c r="D40" s="30">
        <v>45392.89</v>
      </c>
      <c r="E40" s="19">
        <v>6177.75</v>
      </c>
      <c r="F40" s="19">
        <v>0</v>
      </c>
      <c r="G40" s="30">
        <v>25059</v>
      </c>
      <c r="H40" s="30">
        <v>0</v>
      </c>
      <c r="I40" s="19">
        <v>32134</v>
      </c>
      <c r="J40" s="19">
        <v>97621</v>
      </c>
      <c r="L40" s="20">
        <f t="shared" si="3"/>
        <v>143766.64000000001</v>
      </c>
    </row>
    <row r="41" spans="1:12" ht="13.5" customHeight="1">
      <c r="A41" s="267"/>
      <c r="B41" s="29" t="s">
        <v>53</v>
      </c>
      <c r="C41" s="30">
        <v>197290</v>
      </c>
      <c r="D41" s="30">
        <v>104379.74</v>
      </c>
      <c r="E41" s="19">
        <v>47838.18</v>
      </c>
      <c r="F41" s="19">
        <v>25326</v>
      </c>
      <c r="G41" s="30">
        <v>49470</v>
      </c>
      <c r="H41" s="30">
        <v>136740</v>
      </c>
      <c r="I41" s="19">
        <v>104758</v>
      </c>
      <c r="J41" s="19">
        <v>530821</v>
      </c>
      <c r="L41" s="20">
        <f t="shared" si="3"/>
        <v>665801.91999999993</v>
      </c>
    </row>
    <row r="42" spans="1:12" ht="13.5" customHeight="1">
      <c r="A42" s="267"/>
      <c r="B42" s="29" t="s">
        <v>54</v>
      </c>
      <c r="C42" s="30">
        <v>0</v>
      </c>
      <c r="D42" s="30">
        <v>236693</v>
      </c>
      <c r="E42" s="19">
        <f>117982.08+84714.92+6471.31</f>
        <v>209168.31</v>
      </c>
      <c r="F42" s="19">
        <v>0</v>
      </c>
      <c r="G42" s="30">
        <v>27</v>
      </c>
      <c r="H42" s="30">
        <v>1194</v>
      </c>
      <c r="I42" s="19">
        <v>200</v>
      </c>
      <c r="J42" s="19">
        <v>0</v>
      </c>
    </row>
    <row r="43" spans="1:12" ht="13.5" customHeight="1">
      <c r="A43" s="267"/>
      <c r="B43" s="29" t="s">
        <v>55</v>
      </c>
      <c r="C43" s="30">
        <v>0</v>
      </c>
      <c r="D43" s="30">
        <v>0</v>
      </c>
      <c r="E43" s="19">
        <v>0</v>
      </c>
      <c r="F43" s="19">
        <v>0</v>
      </c>
      <c r="G43" s="30">
        <v>0</v>
      </c>
      <c r="H43" s="30">
        <v>0</v>
      </c>
      <c r="I43" s="19">
        <v>0</v>
      </c>
      <c r="J43" s="19">
        <v>0</v>
      </c>
    </row>
    <row r="44" spans="1:12" ht="13.5" customHeight="1">
      <c r="A44" s="267"/>
      <c r="B44" s="29" t="s">
        <v>56</v>
      </c>
      <c r="C44" s="30">
        <v>237623</v>
      </c>
      <c r="D44" s="30">
        <v>0</v>
      </c>
      <c r="E44" s="19">
        <v>0</v>
      </c>
      <c r="F44" s="19">
        <v>0</v>
      </c>
      <c r="G44" s="30">
        <v>275407</v>
      </c>
      <c r="H44" s="30">
        <v>0</v>
      </c>
      <c r="I44" s="19">
        <v>0</v>
      </c>
      <c r="J44" s="19">
        <v>0</v>
      </c>
    </row>
    <row r="45" spans="1:12" ht="13.5" customHeight="1">
      <c r="A45" s="267"/>
      <c r="B45" s="29" t="s">
        <v>75</v>
      </c>
      <c r="C45" s="30">
        <v>267205</v>
      </c>
      <c r="D45" s="30">
        <v>178721.52</v>
      </c>
      <c r="E45" s="19">
        <v>55754.89</v>
      </c>
      <c r="F45" s="19">
        <v>488233</v>
      </c>
      <c r="G45" s="30">
        <v>416058</v>
      </c>
      <c r="H45" s="30">
        <v>285214</v>
      </c>
      <c r="I45" s="19">
        <v>410898</v>
      </c>
      <c r="J45" s="19">
        <v>800141</v>
      </c>
    </row>
    <row r="46" spans="1:12" ht="13.5" customHeight="1">
      <c r="A46" s="267"/>
      <c r="B46" s="29" t="s">
        <v>58</v>
      </c>
      <c r="C46" s="30">
        <v>0</v>
      </c>
      <c r="D46" s="30">
        <v>0</v>
      </c>
      <c r="E46" s="19">
        <v>0</v>
      </c>
      <c r="F46" s="19">
        <v>0</v>
      </c>
      <c r="G46" s="30"/>
      <c r="H46" s="30">
        <v>0</v>
      </c>
      <c r="I46" s="19">
        <v>0</v>
      </c>
      <c r="J46" s="19">
        <v>0</v>
      </c>
    </row>
    <row r="47" spans="1:12" ht="13.5" customHeight="1">
      <c r="A47" s="267"/>
      <c r="B47" s="29" t="s">
        <v>76</v>
      </c>
      <c r="C47" s="30">
        <v>0</v>
      </c>
      <c r="D47" s="30">
        <v>0</v>
      </c>
      <c r="E47" s="19">
        <v>0</v>
      </c>
      <c r="F47" s="19">
        <v>0</v>
      </c>
      <c r="G47" s="30">
        <v>167323</v>
      </c>
      <c r="H47" s="30">
        <v>0</v>
      </c>
      <c r="I47" s="19">
        <v>93350</v>
      </c>
      <c r="J47" s="19">
        <v>0</v>
      </c>
    </row>
    <row r="48" spans="1:12" ht="13.5" customHeight="1">
      <c r="A48" s="267"/>
      <c r="B48" s="29" t="s">
        <v>77</v>
      </c>
      <c r="C48" s="30">
        <v>24589.72</v>
      </c>
      <c r="D48" s="30">
        <v>13619</v>
      </c>
      <c r="E48" s="19">
        <v>0</v>
      </c>
      <c r="F48" s="19">
        <v>12262</v>
      </c>
      <c r="G48" s="30">
        <v>6876</v>
      </c>
      <c r="H48" s="30">
        <v>5235</v>
      </c>
      <c r="I48" s="19">
        <v>110</v>
      </c>
      <c r="J48" s="19">
        <v>0</v>
      </c>
    </row>
    <row r="49" spans="1:12" ht="13.5" customHeight="1">
      <c r="A49" s="267"/>
      <c r="B49" s="29" t="s">
        <v>78</v>
      </c>
      <c r="C49" s="30">
        <v>13453</v>
      </c>
      <c r="D49" s="30">
        <v>14552.74</v>
      </c>
      <c r="E49" s="19">
        <v>3211.87</v>
      </c>
      <c r="F49" s="19">
        <v>-7652</v>
      </c>
      <c r="G49" s="30">
        <v>12955</v>
      </c>
      <c r="H49" s="30">
        <v>-9193</v>
      </c>
      <c r="I49" s="19">
        <v>-1998</v>
      </c>
      <c r="J49" s="19">
        <v>2557</v>
      </c>
      <c r="L49" s="20"/>
    </row>
    <row r="50" spans="1:12" ht="13.5" customHeight="1">
      <c r="A50" s="267"/>
      <c r="B50" s="29" t="s">
        <v>79</v>
      </c>
      <c r="C50" s="30">
        <v>313.81</v>
      </c>
      <c r="D50" s="30">
        <v>566.37</v>
      </c>
      <c r="E50" s="19">
        <v>689.5</v>
      </c>
      <c r="F50" s="19">
        <v>337</v>
      </c>
      <c r="G50" s="30">
        <v>-140</v>
      </c>
      <c r="H50" s="30">
        <v>583</v>
      </c>
      <c r="I50" s="19">
        <v>40</v>
      </c>
      <c r="J50" s="19">
        <v>212</v>
      </c>
    </row>
    <row r="51" spans="1:12" ht="13.5" customHeight="1">
      <c r="A51" s="267"/>
      <c r="B51" s="29" t="s">
        <v>80</v>
      </c>
      <c r="C51" s="30"/>
      <c r="D51" s="30">
        <v>0</v>
      </c>
      <c r="E51" s="19">
        <v>0</v>
      </c>
      <c r="F51" s="19">
        <v>0</v>
      </c>
      <c r="G51" s="30">
        <f>28370+9799</f>
        <v>38169</v>
      </c>
      <c r="H51" s="30">
        <v>0</v>
      </c>
      <c r="I51" s="19">
        <v>0</v>
      </c>
      <c r="J51" s="19">
        <v>0</v>
      </c>
    </row>
    <row r="52" spans="1:12" s="22" customFormat="1" ht="13.5" customHeight="1" thickBot="1">
      <c r="A52" s="263" t="s">
        <v>81</v>
      </c>
      <c r="B52" s="32"/>
      <c r="C52" s="33">
        <f t="shared" ref="C52:I52" si="6">SUM(C34:C51)</f>
        <v>2191534.5300000003</v>
      </c>
      <c r="D52" s="33">
        <f t="shared" si="6"/>
        <v>2503113.56</v>
      </c>
      <c r="E52" s="33">
        <f t="shared" si="6"/>
        <v>1899477.73</v>
      </c>
      <c r="F52" s="33">
        <f t="shared" si="6"/>
        <v>1869406</v>
      </c>
      <c r="G52" s="33">
        <f t="shared" si="6"/>
        <v>2483218</v>
      </c>
      <c r="H52" s="33">
        <f t="shared" si="6"/>
        <v>1873962</v>
      </c>
      <c r="I52" s="33">
        <f t="shared" si="6"/>
        <v>2565151</v>
      </c>
      <c r="J52" s="33">
        <f t="shared" ref="J52" si="7">SUM(J34:J51)</f>
        <v>2823113</v>
      </c>
      <c r="K52" s="110">
        <f>AVERAGE(C52:J52)</f>
        <v>2276121.9775</v>
      </c>
      <c r="L52" s="20">
        <f>SUM(C52:I52)</f>
        <v>15385862.82</v>
      </c>
    </row>
    <row r="53" spans="1:12" ht="13.5" customHeight="1">
      <c r="A53" s="274" t="s">
        <v>82</v>
      </c>
      <c r="B53" s="76"/>
      <c r="C53" s="77"/>
      <c r="D53" s="77"/>
      <c r="E53" s="79"/>
      <c r="F53" s="79"/>
      <c r="G53" s="77"/>
      <c r="H53" s="77"/>
      <c r="I53" s="79"/>
      <c r="J53" s="79"/>
      <c r="L53" s="20"/>
    </row>
    <row r="54" spans="1:12" s="22" customFormat="1" ht="13.5" customHeight="1">
      <c r="A54" s="264"/>
      <c r="B54" s="23" t="s">
        <v>83</v>
      </c>
      <c r="C54" s="24">
        <v>130360</v>
      </c>
      <c r="D54" s="24">
        <v>189138</v>
      </c>
      <c r="E54" s="24">
        <v>221370.69</v>
      </c>
      <c r="F54" s="24">
        <v>98651</v>
      </c>
      <c r="G54" s="24">
        <v>133196</v>
      </c>
      <c r="H54" s="24">
        <v>112254</v>
      </c>
      <c r="I54" s="24">
        <v>240990</v>
      </c>
      <c r="J54" s="24">
        <v>51617</v>
      </c>
      <c r="K54" s="80"/>
      <c r="L54" s="20">
        <f t="shared" ref="L54:L55" si="8">SUM(C54:I54)</f>
        <v>1125959.69</v>
      </c>
    </row>
    <row r="55" spans="1:12" s="22" customFormat="1" ht="13.5" customHeight="1">
      <c r="A55" s="268"/>
      <c r="B55" s="36" t="s">
        <v>201</v>
      </c>
      <c r="C55" s="24">
        <v>195461.05</v>
      </c>
      <c r="D55" s="42">
        <v>183994.93</v>
      </c>
      <c r="E55" s="42">
        <v>356772.93</v>
      </c>
      <c r="F55" s="42">
        <v>54178</v>
      </c>
      <c r="G55" s="42">
        <v>44829</v>
      </c>
      <c r="H55" s="42">
        <v>172689</v>
      </c>
      <c r="I55" s="42">
        <v>83927</v>
      </c>
      <c r="J55" s="42">
        <v>0</v>
      </c>
      <c r="K55" s="80"/>
      <c r="L55" s="20">
        <f t="shared" si="8"/>
        <v>1091851.9099999999</v>
      </c>
    </row>
    <row r="56" spans="1:12" s="22" customFormat="1" ht="13.5" customHeight="1">
      <c r="A56" s="268"/>
      <c r="B56" s="36" t="s">
        <v>229</v>
      </c>
      <c r="C56" s="24">
        <v>0</v>
      </c>
      <c r="D56" s="42">
        <v>0</v>
      </c>
      <c r="E56" s="42">
        <v>0</v>
      </c>
      <c r="F56" s="42">
        <v>0</v>
      </c>
      <c r="G56" s="42">
        <v>0</v>
      </c>
      <c r="H56" s="42">
        <v>0</v>
      </c>
      <c r="I56" s="42">
        <v>0</v>
      </c>
      <c r="J56" s="42">
        <v>0</v>
      </c>
      <c r="K56" s="80"/>
      <c r="L56" s="20">
        <f>SUM(C56:J56)</f>
        <v>0</v>
      </c>
    </row>
    <row r="57" spans="1:12" s="22" customFormat="1" ht="13.5" customHeight="1">
      <c r="A57" s="241" t="s">
        <v>230</v>
      </c>
      <c r="B57" s="36"/>
      <c r="C57" s="24">
        <f>+C32-C52</f>
        <v>52828.469999999739</v>
      </c>
      <c r="D57" s="24">
        <f t="shared" ref="D57:I57" si="9">+D32-D52</f>
        <v>-8767.5200000000186</v>
      </c>
      <c r="E57" s="24">
        <f t="shared" si="9"/>
        <v>222109.56999999983</v>
      </c>
      <c r="F57" s="24">
        <f t="shared" si="9"/>
        <v>107255</v>
      </c>
      <c r="G57" s="24">
        <f t="shared" si="9"/>
        <v>-223248</v>
      </c>
      <c r="H57" s="24">
        <f t="shared" si="9"/>
        <v>15529</v>
      </c>
      <c r="I57" s="24">
        <f t="shared" si="9"/>
        <v>9180</v>
      </c>
      <c r="J57" s="24">
        <f t="shared" ref="J57" si="10">+J32-J52</f>
        <v>31929</v>
      </c>
      <c r="K57" s="110">
        <f t="shared" ref="K57:K62" si="11">AVERAGE(C57:J57)</f>
        <v>25851.939999999944</v>
      </c>
    </row>
    <row r="58" spans="1:12" s="22" customFormat="1" ht="13.5" customHeight="1">
      <c r="A58" s="241" t="s">
        <v>239</v>
      </c>
      <c r="B58" s="36"/>
      <c r="C58" s="24">
        <f>+C32-C52-C54</f>
        <v>-77531.530000000261</v>
      </c>
      <c r="D58" s="24">
        <f t="shared" ref="D58:J58" si="12">+D32-D52-D54</f>
        <v>-197905.52000000002</v>
      </c>
      <c r="E58" s="24">
        <f t="shared" si="12"/>
        <v>738.87999999983003</v>
      </c>
      <c r="F58" s="24">
        <f t="shared" si="12"/>
        <v>8604</v>
      </c>
      <c r="G58" s="24">
        <f t="shared" si="12"/>
        <v>-356444</v>
      </c>
      <c r="H58" s="24">
        <f t="shared" si="12"/>
        <v>-96725</v>
      </c>
      <c r="I58" s="24">
        <f t="shared" si="12"/>
        <v>-231810</v>
      </c>
      <c r="J58" s="24">
        <f t="shared" si="12"/>
        <v>-19688</v>
      </c>
      <c r="K58" s="110">
        <f t="shared" si="11"/>
        <v>-121345.14625000005</v>
      </c>
    </row>
    <row r="59" spans="1:12" s="22" customFormat="1" ht="13.5" customHeight="1">
      <c r="A59" s="241" t="s">
        <v>231</v>
      </c>
      <c r="B59" s="36"/>
      <c r="C59" s="24">
        <f>+C32-C52-SUM(C54:C56)</f>
        <v>-272992.58000000025</v>
      </c>
      <c r="D59" s="24">
        <f t="shared" ref="D59:J59" si="13">+D32-D52-SUM(D54:D56)</f>
        <v>-381900.45</v>
      </c>
      <c r="E59" s="24">
        <f t="shared" si="13"/>
        <v>-356034.05000000016</v>
      </c>
      <c r="F59" s="24">
        <f t="shared" si="13"/>
        <v>-45574</v>
      </c>
      <c r="G59" s="24">
        <f t="shared" si="13"/>
        <v>-401273</v>
      </c>
      <c r="H59" s="24">
        <f t="shared" si="13"/>
        <v>-269414</v>
      </c>
      <c r="I59" s="24">
        <f t="shared" si="13"/>
        <v>-315737</v>
      </c>
      <c r="J59" s="24">
        <f t="shared" si="13"/>
        <v>-19688</v>
      </c>
      <c r="K59" s="110">
        <f t="shared" si="11"/>
        <v>-257826.63500000007</v>
      </c>
    </row>
    <row r="60" spans="1:12" s="22" customFormat="1" ht="13.5" customHeight="1">
      <c r="A60" s="241" t="s">
        <v>232</v>
      </c>
      <c r="B60" s="36"/>
      <c r="C60" s="24">
        <f>+C32+SUM(C12:C14)-C52</f>
        <v>221110.66999999993</v>
      </c>
      <c r="D60" s="24">
        <f t="shared" ref="D60:J60" si="14">+D32+SUM(D12:D14)-D52</f>
        <v>176108.20000000019</v>
      </c>
      <c r="E60" s="24">
        <f t="shared" si="14"/>
        <v>420591.29999999981</v>
      </c>
      <c r="F60" s="24">
        <f t="shared" si="14"/>
        <v>142899</v>
      </c>
      <c r="G60" s="24">
        <f t="shared" si="14"/>
        <v>-136494</v>
      </c>
      <c r="H60" s="24">
        <f t="shared" si="14"/>
        <v>533818</v>
      </c>
      <c r="I60" s="24">
        <f t="shared" si="14"/>
        <v>405062</v>
      </c>
      <c r="J60" s="24">
        <f t="shared" si="14"/>
        <v>69831</v>
      </c>
      <c r="K60" s="110">
        <f t="shared" si="11"/>
        <v>229115.77124999999</v>
      </c>
    </row>
    <row r="61" spans="1:12" s="22" customFormat="1" ht="13.5" customHeight="1">
      <c r="A61" s="241" t="s">
        <v>240</v>
      </c>
      <c r="B61" s="36"/>
      <c r="C61" s="24">
        <f>+C32+SUM(C12:C14)-C52-C54</f>
        <v>90750.669999999925</v>
      </c>
      <c r="D61" s="24">
        <f t="shared" ref="D61:J61" si="15">+D32+SUM(D12:D14)-D52-D54</f>
        <v>-13029.799999999814</v>
      </c>
      <c r="E61" s="24">
        <f t="shared" si="15"/>
        <v>199220.60999999981</v>
      </c>
      <c r="F61" s="24">
        <f t="shared" si="15"/>
        <v>44248</v>
      </c>
      <c r="G61" s="24">
        <f t="shared" si="15"/>
        <v>-269690</v>
      </c>
      <c r="H61" s="24">
        <f t="shared" si="15"/>
        <v>421564</v>
      </c>
      <c r="I61" s="24">
        <f t="shared" si="15"/>
        <v>164072</v>
      </c>
      <c r="J61" s="24">
        <f t="shared" si="15"/>
        <v>18214</v>
      </c>
      <c r="K61" s="110">
        <f t="shared" si="11"/>
        <v>81918.684999999998</v>
      </c>
    </row>
    <row r="62" spans="1:12" s="22" customFormat="1" ht="13.5" customHeight="1">
      <c r="A62" s="241" t="s">
        <v>233</v>
      </c>
      <c r="B62" s="36"/>
      <c r="C62" s="24">
        <f>+C32+SUM(C12:C14)-C52-SUM(C54:C56)</f>
        <v>-104710.38000000006</v>
      </c>
      <c r="D62" s="24">
        <f t="shared" ref="D62:J62" si="16">+D32+SUM(D12:D14)-D52-SUM(D54:D56)</f>
        <v>-197024.72999999981</v>
      </c>
      <c r="E62" s="24">
        <f t="shared" si="16"/>
        <v>-157552.32000000018</v>
      </c>
      <c r="F62" s="24">
        <f t="shared" si="16"/>
        <v>-9930</v>
      </c>
      <c r="G62" s="24">
        <f t="shared" si="16"/>
        <v>-314519</v>
      </c>
      <c r="H62" s="24">
        <f t="shared" si="16"/>
        <v>248875</v>
      </c>
      <c r="I62" s="24">
        <f t="shared" si="16"/>
        <v>80145</v>
      </c>
      <c r="J62" s="24">
        <f t="shared" si="16"/>
        <v>18214</v>
      </c>
      <c r="K62" s="110">
        <f t="shared" si="11"/>
        <v>-54562.803750000006</v>
      </c>
      <c r="L62" s="34">
        <f>SUM(C62:I62)</f>
        <v>-454716.43000000005</v>
      </c>
    </row>
    <row r="63" spans="1:12" ht="13.5" customHeight="1">
      <c r="A63" s="262" t="s">
        <v>228</v>
      </c>
      <c r="B63" s="12"/>
      <c r="C63" s="38"/>
      <c r="D63" s="38"/>
      <c r="E63" s="38"/>
      <c r="F63" s="39"/>
      <c r="G63" s="38"/>
      <c r="H63" s="38"/>
      <c r="I63" s="38"/>
      <c r="J63" s="38"/>
    </row>
    <row r="64" spans="1:12" ht="13.5" customHeight="1">
      <c r="A64" s="266"/>
      <c r="B64" s="25" t="s">
        <v>40</v>
      </c>
      <c r="C64" s="31">
        <v>-65781</v>
      </c>
      <c r="D64" s="31">
        <v>312182.74</v>
      </c>
      <c r="E64" s="31">
        <v>-232703.41000000015</v>
      </c>
      <c r="F64" s="17">
        <v>994093</v>
      </c>
      <c r="G64" s="17">
        <v>40548.57</v>
      </c>
      <c r="H64" s="17">
        <v>155145</v>
      </c>
      <c r="I64" s="17">
        <v>263273</v>
      </c>
      <c r="J64" s="17">
        <v>531478</v>
      </c>
      <c r="K64" s="95">
        <f>SUM(C64:J64)/8</f>
        <v>249779.48749999999</v>
      </c>
      <c r="L64" s="20"/>
    </row>
    <row r="65" spans="1:12" ht="13.5" customHeight="1">
      <c r="A65" s="266"/>
      <c r="B65" s="25" t="s">
        <v>234</v>
      </c>
      <c r="C65" s="31">
        <v>-834272</v>
      </c>
      <c r="D65" s="31">
        <v>-1120060.57</v>
      </c>
      <c r="E65" s="31">
        <v>-1206668.46</v>
      </c>
      <c r="F65" s="17">
        <v>-261456</v>
      </c>
      <c r="G65" s="17">
        <v>-738862.48</v>
      </c>
      <c r="H65" s="17">
        <v>-559890</v>
      </c>
      <c r="I65" s="17">
        <v>-1026959</v>
      </c>
      <c r="J65" s="17">
        <v>0</v>
      </c>
      <c r="L65" s="20"/>
    </row>
    <row r="66" spans="1:12" ht="13.5" customHeight="1">
      <c r="A66" s="266"/>
      <c r="B66" s="25" t="s">
        <v>41</v>
      </c>
      <c r="C66" s="31">
        <v>-1049.04</v>
      </c>
      <c r="D66" s="31">
        <v>0</v>
      </c>
      <c r="E66" s="31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95">
        <f>MAX(B64:J64)</f>
        <v>994093</v>
      </c>
    </row>
    <row r="67" spans="1:12" s="40" customFormat="1" ht="13.5" customHeight="1">
      <c r="A67" s="266"/>
      <c r="B67" s="25" t="s">
        <v>42</v>
      </c>
      <c r="C67" s="31">
        <v>2343697.1399999997</v>
      </c>
      <c r="D67" s="31">
        <v>3591794.44</v>
      </c>
      <c r="E67" s="31">
        <v>2011509.1499999997</v>
      </c>
      <c r="F67" s="17">
        <v>1514575</v>
      </c>
      <c r="G67" s="17">
        <v>1711045.72</v>
      </c>
      <c r="H67" s="17">
        <v>2404894</v>
      </c>
      <c r="I67" s="17">
        <v>4100336</v>
      </c>
      <c r="J67" s="17">
        <v>2301255</v>
      </c>
      <c r="K67" s="111">
        <f>MIN(C64:J64)</f>
        <v>-232703.41000000015</v>
      </c>
      <c r="L67" s="100"/>
    </row>
    <row r="68" spans="1:12" s="22" customFormat="1" ht="13.5" customHeight="1">
      <c r="A68" s="241"/>
      <c r="B68" s="41" t="s">
        <v>43</v>
      </c>
      <c r="C68" s="57">
        <f>SUM(C64:C67)</f>
        <v>1442595.0999999996</v>
      </c>
      <c r="D68" s="57">
        <f t="shared" ref="D68:I68" si="17">SUM(D64:D67)</f>
        <v>2783916.61</v>
      </c>
      <c r="E68" s="57">
        <f t="shared" si="17"/>
        <v>572137.27999999956</v>
      </c>
      <c r="F68" s="57">
        <f t="shared" si="17"/>
        <v>2247212</v>
      </c>
      <c r="G68" s="57">
        <f t="shared" si="17"/>
        <v>1012731.8099999999</v>
      </c>
      <c r="H68" s="57">
        <f t="shared" si="17"/>
        <v>2000149</v>
      </c>
      <c r="I68" s="57">
        <f t="shared" si="17"/>
        <v>3336650</v>
      </c>
      <c r="J68" s="57">
        <f t="shared" ref="J68" si="18">SUM(J64:J67)</f>
        <v>2832733</v>
      </c>
      <c r="K68" s="80"/>
    </row>
    <row r="69" spans="1:12" s="202" customFormat="1" ht="13.5" customHeight="1">
      <c r="A69" s="270" t="s">
        <v>84</v>
      </c>
      <c r="B69" s="270"/>
      <c r="C69" s="281">
        <f t="shared" ref="C69:I69" si="19">C64/(C52)</f>
        <v>-3.0015954163405308E-2</v>
      </c>
      <c r="D69" s="281">
        <f t="shared" si="19"/>
        <v>0.12471776949664241</v>
      </c>
      <c r="E69" s="281">
        <f t="shared" si="19"/>
        <v>-0.12250915413470004</v>
      </c>
      <c r="F69" s="281">
        <f t="shared" si="19"/>
        <v>0.53176944976104712</v>
      </c>
      <c r="G69" s="281">
        <f t="shared" si="19"/>
        <v>1.6329041590387956E-2</v>
      </c>
      <c r="H69" s="281">
        <f t="shared" si="19"/>
        <v>8.2789832451245007E-2</v>
      </c>
      <c r="I69" s="281">
        <f t="shared" si="19"/>
        <v>0.10263450377775031</v>
      </c>
      <c r="J69" s="280">
        <f t="shared" ref="J69" si="20">J64/(J52)</f>
        <v>0.18825955602910688</v>
      </c>
      <c r="K69" s="201">
        <f>AVERAGE(C69:J69)</f>
        <v>0.11174688060100929</v>
      </c>
    </row>
    <row r="70" spans="1:12">
      <c r="A70" s="59"/>
      <c r="B70" s="59" t="s">
        <v>85</v>
      </c>
      <c r="C70" s="83">
        <f t="shared" ref="C70:I70" si="21">+C10+C12+C13+C14+C32-C52-C54-C68-C55-C56</f>
        <v>2.5300000000861473</v>
      </c>
      <c r="D70" s="83">
        <f t="shared" si="21"/>
        <v>-0.34000000014202669</v>
      </c>
      <c r="E70" s="83">
        <f t="shared" si="21"/>
        <v>4.0745362639427185E-10</v>
      </c>
      <c r="F70" s="69">
        <f t="shared" si="21"/>
        <v>0</v>
      </c>
      <c r="G70" s="69">
        <f t="shared" si="21"/>
        <v>2.190000000060536</v>
      </c>
      <c r="H70" s="83">
        <f t="shared" si="21"/>
        <v>-1</v>
      </c>
      <c r="I70" s="83">
        <f t="shared" si="21"/>
        <v>0</v>
      </c>
      <c r="J70" s="83">
        <f>+J10+J12+J13+J14+J32-J52-J54-J68-J55-J56</f>
        <v>0</v>
      </c>
      <c r="K70" s="112">
        <f>MAX(C69:J69)</f>
        <v>0.53176944976104712</v>
      </c>
    </row>
    <row r="71" spans="1:12">
      <c r="A71" s="59"/>
      <c r="B71" s="59"/>
      <c r="C71" s="83">
        <f t="shared" ref="C71:I71" si="22">+C10+C62-C68</f>
        <v>2.5300000002607703</v>
      </c>
      <c r="D71" s="83">
        <f t="shared" si="22"/>
        <v>-0.33999999985098839</v>
      </c>
      <c r="E71" s="83">
        <f t="shared" si="22"/>
        <v>0</v>
      </c>
      <c r="F71" s="69">
        <f t="shared" si="22"/>
        <v>0</v>
      </c>
      <c r="G71" s="69">
        <f t="shared" si="22"/>
        <v>2.190000000060536</v>
      </c>
      <c r="H71" s="83">
        <f t="shared" si="22"/>
        <v>-1</v>
      </c>
      <c r="I71" s="83">
        <f t="shared" si="22"/>
        <v>0</v>
      </c>
      <c r="J71" s="83">
        <f t="shared" ref="J71" si="23">+J10+J62-J68</f>
        <v>0</v>
      </c>
      <c r="K71" s="112">
        <f>MIN(C69:J69)</f>
        <v>-0.12250915413470004</v>
      </c>
    </row>
    <row r="72" spans="1:12">
      <c r="A72" s="59"/>
      <c r="B72" s="59"/>
      <c r="C72" s="83"/>
      <c r="D72" s="83"/>
      <c r="E72" s="83"/>
      <c r="F72" s="69"/>
      <c r="G72" s="69"/>
      <c r="H72" s="83"/>
      <c r="I72" s="83"/>
      <c r="J72" s="83"/>
      <c r="K72" s="112"/>
    </row>
    <row r="73" spans="1:12" ht="12.75" customHeight="1">
      <c r="A73" s="180" t="s">
        <v>195</v>
      </c>
      <c r="B73" s="134"/>
      <c r="C73" s="134"/>
      <c r="D73" s="134"/>
      <c r="E73" s="83"/>
      <c r="F73" s="69"/>
      <c r="G73" s="69"/>
      <c r="H73" s="83"/>
      <c r="I73" s="83"/>
      <c r="J73" s="83"/>
      <c r="K73" s="112"/>
    </row>
    <row r="74" spans="1:12" ht="12.75" customHeight="1">
      <c r="A74" s="177" t="s">
        <v>196</v>
      </c>
      <c r="B74" s="134"/>
      <c r="C74" s="134"/>
      <c r="D74" s="134"/>
    </row>
    <row r="75" spans="1:12" ht="12.75" customHeight="1">
      <c r="A75" s="178" t="s">
        <v>86</v>
      </c>
      <c r="B75" s="134"/>
      <c r="C75" s="134"/>
      <c r="D75" s="134"/>
    </row>
    <row r="76" spans="1:12">
      <c r="A76" s="179"/>
      <c r="B76" s="52"/>
      <c r="C76" s="52"/>
      <c r="D76" s="52"/>
    </row>
    <row r="77" spans="1:12" ht="12.75" customHeight="1">
      <c r="A77" s="177" t="s">
        <v>197</v>
      </c>
      <c r="B77" s="134"/>
      <c r="C77" s="134"/>
      <c r="D77" s="134"/>
    </row>
    <row r="78" spans="1:12" ht="12.75" customHeight="1">
      <c r="A78" s="177" t="s">
        <v>87</v>
      </c>
      <c r="B78" s="134"/>
      <c r="C78" s="134"/>
      <c r="D78" s="134"/>
    </row>
    <row r="79" spans="1:12" ht="12.75" customHeight="1">
      <c r="A79" s="177" t="s">
        <v>88</v>
      </c>
      <c r="B79" s="5"/>
      <c r="C79" s="1"/>
      <c r="D79" s="1"/>
    </row>
    <row r="80" spans="1:12">
      <c r="A80" s="140"/>
      <c r="B80" s="140"/>
      <c r="C80" s="140"/>
      <c r="D80" s="140"/>
    </row>
    <row r="81" spans="1:12">
      <c r="A81" s="343"/>
      <c r="B81" s="344"/>
      <c r="C81" s="260"/>
      <c r="D81" s="260"/>
      <c r="E81" s="260"/>
      <c r="F81" s="260"/>
      <c r="G81" s="260"/>
      <c r="H81" s="260"/>
      <c r="I81" s="260"/>
      <c r="J81" s="260"/>
    </row>
    <row r="82" spans="1:12" ht="72" customHeight="1">
      <c r="A82" s="345"/>
      <c r="B82" s="346"/>
      <c r="C82" s="256" t="str">
        <f t="shared" ref="C82:I82" si="24">C2</f>
        <v>7th DAA, Monterey County Fair</v>
      </c>
      <c r="D82" s="256" t="str">
        <f t="shared" si="24"/>
        <v>17th DAA, Nevada County Fair</v>
      </c>
      <c r="E82" s="256" t="str">
        <f t="shared" si="24"/>
        <v>19th DAA,     Santa Barbara Fair</v>
      </c>
      <c r="F82" s="256" t="str">
        <f t="shared" si="24"/>
        <v>24th DAA, 
Tulare County Fair</v>
      </c>
      <c r="G82" s="256" t="str">
        <f t="shared" si="24"/>
        <v>28th DAA,       San Bernardino County Fair</v>
      </c>
      <c r="H82" s="256" t="str">
        <f t="shared" si="24"/>
        <v>35th DAA, Merced County Fair</v>
      </c>
      <c r="I82" s="256" t="str">
        <f t="shared" si="24"/>
        <v>37th DAA,     Santa Maria Fairpark</v>
      </c>
      <c r="J82" s="256" t="str">
        <f t="shared" ref="J82" si="25">J2</f>
        <v>Marin County Fair</v>
      </c>
    </row>
    <row r="83" spans="1:12" ht="13.5" customHeight="1">
      <c r="A83" s="262" t="s">
        <v>89</v>
      </c>
      <c r="B83" s="29"/>
      <c r="C83" s="54"/>
      <c r="D83" s="54"/>
      <c r="E83" s="55"/>
      <c r="F83" s="55"/>
      <c r="G83" s="54"/>
      <c r="H83" s="54"/>
      <c r="I83" s="55"/>
      <c r="J83" s="55"/>
    </row>
    <row r="84" spans="1:12" ht="13.5" customHeight="1">
      <c r="A84" s="262" t="s">
        <v>90</v>
      </c>
      <c r="B84" s="29"/>
      <c r="C84" s="54"/>
      <c r="D84" s="54"/>
      <c r="E84" s="55"/>
      <c r="F84" s="55"/>
      <c r="G84" s="54"/>
      <c r="H84" s="54"/>
      <c r="I84" s="55"/>
      <c r="J84" s="55"/>
    </row>
    <row r="85" spans="1:12" ht="13.5" customHeight="1">
      <c r="A85" s="267"/>
      <c r="B85" s="29" t="s">
        <v>91</v>
      </c>
      <c r="C85" s="30"/>
      <c r="D85" s="30"/>
      <c r="E85" s="19"/>
      <c r="F85" s="19"/>
      <c r="G85" s="30"/>
      <c r="H85" s="30"/>
      <c r="I85" s="19"/>
      <c r="J85" s="19"/>
    </row>
    <row r="86" spans="1:12" ht="13.5" customHeight="1">
      <c r="A86" s="267"/>
      <c r="B86" s="29" t="s">
        <v>92</v>
      </c>
      <c r="C86" s="14">
        <v>0</v>
      </c>
      <c r="D86" s="14">
        <v>0</v>
      </c>
      <c r="E86" s="15">
        <v>0</v>
      </c>
      <c r="F86" s="15">
        <v>0</v>
      </c>
      <c r="G86" s="14">
        <v>0</v>
      </c>
      <c r="H86" s="14">
        <v>0</v>
      </c>
      <c r="I86" s="15">
        <v>467003</v>
      </c>
      <c r="J86" s="15">
        <v>0</v>
      </c>
      <c r="L86" s="34">
        <f>SUM(C86:I86)</f>
        <v>467003</v>
      </c>
    </row>
    <row r="87" spans="1:12" ht="13.5" customHeight="1">
      <c r="A87" s="267"/>
      <c r="B87" s="29" t="s">
        <v>93</v>
      </c>
      <c r="C87" s="30">
        <v>120889</v>
      </c>
      <c r="D87" s="30">
        <v>406858</v>
      </c>
      <c r="E87" s="19">
        <v>27396.32</v>
      </c>
      <c r="F87" s="19">
        <v>1379603</v>
      </c>
      <c r="G87" s="30">
        <v>461471.79</v>
      </c>
      <c r="H87" s="30">
        <v>384948</v>
      </c>
      <c r="I87" s="19">
        <v>466842</v>
      </c>
      <c r="J87" s="19">
        <v>538293</v>
      </c>
      <c r="L87" s="34">
        <f t="shared" ref="L87:L96" si="26">SUM(C87:I87)</f>
        <v>3248008.11</v>
      </c>
    </row>
    <row r="88" spans="1:12" ht="13.5" customHeight="1">
      <c r="A88" s="267"/>
      <c r="B88" s="29" t="s">
        <v>94</v>
      </c>
      <c r="C88" s="30">
        <v>62250.479999999996</v>
      </c>
      <c r="D88" s="30">
        <v>156035.20000000001</v>
      </c>
      <c r="E88" s="19">
        <v>59596.75</v>
      </c>
      <c r="F88" s="19">
        <v>103835</v>
      </c>
      <c r="G88" s="30">
        <v>100139</v>
      </c>
      <c r="H88" s="30">
        <v>172131</v>
      </c>
      <c r="I88" s="19">
        <v>66306</v>
      </c>
      <c r="J88" s="19">
        <v>0</v>
      </c>
      <c r="L88" s="34">
        <f t="shared" si="26"/>
        <v>720293.42999999993</v>
      </c>
    </row>
    <row r="89" spans="1:12" ht="13.5" customHeight="1">
      <c r="A89" s="267"/>
      <c r="B89" s="29" t="s">
        <v>95</v>
      </c>
      <c r="C89" s="30">
        <v>2264</v>
      </c>
      <c r="D89" s="30">
        <v>2789.85</v>
      </c>
      <c r="E89" s="19">
        <v>2604.06</v>
      </c>
      <c r="F89" s="19">
        <v>0</v>
      </c>
      <c r="G89" s="30">
        <v>0</v>
      </c>
      <c r="H89" s="30">
        <v>0</v>
      </c>
      <c r="I89" s="19">
        <v>4832</v>
      </c>
      <c r="J89" s="19">
        <v>0</v>
      </c>
      <c r="L89" s="34">
        <f t="shared" si="26"/>
        <v>12489.91</v>
      </c>
    </row>
    <row r="90" spans="1:12" ht="13.5" customHeight="1">
      <c r="A90" s="267"/>
      <c r="B90" s="29" t="s">
        <v>96</v>
      </c>
      <c r="C90" s="30">
        <v>0</v>
      </c>
      <c r="D90" s="30">
        <v>11470</v>
      </c>
      <c r="E90" s="19">
        <v>0</v>
      </c>
      <c r="F90" s="19">
        <v>0</v>
      </c>
      <c r="G90" s="30">
        <v>0</v>
      </c>
      <c r="H90" s="30">
        <v>0</v>
      </c>
      <c r="I90" s="19">
        <v>0</v>
      </c>
      <c r="J90" s="19">
        <v>0</v>
      </c>
      <c r="L90" s="34">
        <f t="shared" si="26"/>
        <v>11470</v>
      </c>
    </row>
    <row r="91" spans="1:12" ht="13.5" customHeight="1">
      <c r="A91" s="267"/>
      <c r="B91" s="29" t="s">
        <v>97</v>
      </c>
      <c r="C91" s="30">
        <v>0</v>
      </c>
      <c r="D91" s="30">
        <v>0</v>
      </c>
      <c r="E91" s="19">
        <v>0</v>
      </c>
      <c r="F91" s="19">
        <v>0</v>
      </c>
      <c r="G91" s="30">
        <v>50000</v>
      </c>
      <c r="H91" s="30">
        <v>8685</v>
      </c>
      <c r="I91" s="19">
        <v>42105</v>
      </c>
      <c r="J91" s="19">
        <v>0</v>
      </c>
      <c r="L91" s="34">
        <f t="shared" si="26"/>
        <v>100790</v>
      </c>
    </row>
    <row r="92" spans="1:12" ht="13.5" customHeight="1">
      <c r="A92" s="267"/>
      <c r="B92" s="29" t="s">
        <v>98</v>
      </c>
      <c r="C92" s="30">
        <v>31340</v>
      </c>
      <c r="D92" s="30">
        <v>1018036.79</v>
      </c>
      <c r="E92" s="19">
        <v>213778.47</v>
      </c>
      <c r="F92" s="19">
        <v>489069</v>
      </c>
      <c r="G92" s="30">
        <v>22055</v>
      </c>
      <c r="H92" s="30">
        <v>179771</v>
      </c>
      <c r="I92" s="19">
        <v>98142</v>
      </c>
      <c r="J92" s="19">
        <v>1777659</v>
      </c>
      <c r="L92" s="34">
        <f t="shared" si="26"/>
        <v>2052192.26</v>
      </c>
    </row>
    <row r="93" spans="1:12" ht="13.5" customHeight="1">
      <c r="A93" s="267"/>
      <c r="B93" s="29" t="s">
        <v>99</v>
      </c>
      <c r="C93" s="30">
        <v>6301925</v>
      </c>
      <c r="D93" s="30">
        <v>6952904.2999999998</v>
      </c>
      <c r="E93" s="19">
        <v>7537298.21</v>
      </c>
      <c r="F93" s="19">
        <v>3775287</v>
      </c>
      <c r="G93" s="30">
        <v>3634726.76</v>
      </c>
      <c r="H93" s="30">
        <v>5904833</v>
      </c>
      <c r="I93" s="19">
        <v>8452321</v>
      </c>
      <c r="J93" s="19">
        <v>3715756</v>
      </c>
      <c r="L93" s="34">
        <f t="shared" si="26"/>
        <v>42559295.270000003</v>
      </c>
    </row>
    <row r="94" spans="1:12" ht="13.5" customHeight="1">
      <c r="A94" s="267"/>
      <c r="B94" s="29" t="s">
        <v>100</v>
      </c>
      <c r="C94" s="30">
        <v>257441</v>
      </c>
      <c r="D94" s="30">
        <v>271710</v>
      </c>
      <c r="E94" s="19">
        <v>224912.06</v>
      </c>
      <c r="F94" s="19">
        <v>347594</v>
      </c>
      <c r="G94" s="30">
        <v>234350</v>
      </c>
      <c r="H94" s="30">
        <v>270866</v>
      </c>
      <c r="I94" s="19">
        <v>561553</v>
      </c>
      <c r="J94" s="286">
        <v>58842</v>
      </c>
      <c r="L94" s="34">
        <f t="shared" si="26"/>
        <v>2168426.06</v>
      </c>
    </row>
    <row r="95" spans="1:12" ht="13.5" customHeight="1">
      <c r="A95" s="267"/>
      <c r="B95" s="29" t="s">
        <v>101</v>
      </c>
      <c r="C95" s="30">
        <v>0</v>
      </c>
      <c r="D95" s="30">
        <v>0</v>
      </c>
      <c r="E95" s="19">
        <v>1767878.08</v>
      </c>
      <c r="F95" s="19">
        <v>0</v>
      </c>
      <c r="G95" s="30">
        <v>1397303</v>
      </c>
      <c r="H95" s="30">
        <v>0</v>
      </c>
      <c r="I95" s="19">
        <v>1393941</v>
      </c>
      <c r="J95" s="19">
        <v>0</v>
      </c>
      <c r="L95" s="34">
        <f t="shared" si="26"/>
        <v>4559122.08</v>
      </c>
    </row>
    <row r="96" spans="1:12" ht="13.5" customHeight="1">
      <c r="A96" s="267"/>
      <c r="B96" s="29" t="s">
        <v>182</v>
      </c>
      <c r="C96" s="30">
        <v>0</v>
      </c>
      <c r="D96" s="30">
        <v>0</v>
      </c>
      <c r="E96" s="19">
        <v>0</v>
      </c>
      <c r="F96" s="19">
        <v>0</v>
      </c>
      <c r="G96" s="30">
        <v>0</v>
      </c>
      <c r="H96" s="30">
        <v>0</v>
      </c>
      <c r="I96" s="19">
        <v>0</v>
      </c>
      <c r="J96" s="19">
        <v>0</v>
      </c>
      <c r="L96" s="34">
        <f t="shared" si="26"/>
        <v>0</v>
      </c>
    </row>
    <row r="97" spans="1:12" ht="13.5" customHeight="1">
      <c r="A97" s="267"/>
      <c r="B97" s="29" t="s">
        <v>102</v>
      </c>
      <c r="C97" s="30">
        <f>-3993985-253025</f>
        <v>-4247010</v>
      </c>
      <c r="D97" s="30">
        <f>-4209947.05-225867.98</f>
        <v>-4435815.03</v>
      </c>
      <c r="E97" s="19">
        <f>-6323792.92-213640.88-942868.34</f>
        <v>-7480302.1399999997</v>
      </c>
      <c r="F97" s="19">
        <f>-2849793-247582</f>
        <v>-3097375</v>
      </c>
      <c r="G97" s="30">
        <f>-2655044.4-227117-745228</f>
        <v>-3627389.4</v>
      </c>
      <c r="H97" s="30">
        <f>-3730255-229007</f>
        <v>-3959262</v>
      </c>
      <c r="I97" s="19">
        <f>-5234430-545270-557576</f>
        <v>-6337276</v>
      </c>
      <c r="J97" s="19">
        <f>-3192160-58842</f>
        <v>-3251002</v>
      </c>
      <c r="L97" s="95">
        <f>SUM(C91:I97)</f>
        <v>18255396.100000001</v>
      </c>
    </row>
    <row r="98" spans="1:12" ht="13.5" customHeight="1">
      <c r="A98" s="267"/>
      <c r="B98" s="29" t="s">
        <v>162</v>
      </c>
      <c r="C98" s="30">
        <v>0</v>
      </c>
      <c r="D98" s="30">
        <v>0</v>
      </c>
      <c r="E98" s="19">
        <v>0</v>
      </c>
      <c r="F98" s="19"/>
      <c r="G98" s="30">
        <v>0</v>
      </c>
      <c r="H98" s="30">
        <v>0</v>
      </c>
      <c r="I98" s="19">
        <v>0</v>
      </c>
      <c r="J98" s="19">
        <v>0</v>
      </c>
      <c r="L98" s="95"/>
    </row>
    <row r="99" spans="1:12" ht="13.5" customHeight="1">
      <c r="A99" s="250" t="s">
        <v>104</v>
      </c>
      <c r="B99" s="23"/>
      <c r="C99" s="24">
        <f>SUM(C85:C98)</f>
        <v>2529099.4800000004</v>
      </c>
      <c r="D99" s="24">
        <f t="shared" ref="D99:I99" si="27">SUM(D85:D98)</f>
        <v>4383989.1100000003</v>
      </c>
      <c r="E99" s="24">
        <f t="shared" si="27"/>
        <v>2353161.8099999996</v>
      </c>
      <c r="F99" s="24">
        <f t="shared" si="27"/>
        <v>2998013</v>
      </c>
      <c r="G99" s="24">
        <f t="shared" si="27"/>
        <v>2272656.15</v>
      </c>
      <c r="H99" s="24">
        <f t="shared" si="27"/>
        <v>2961972</v>
      </c>
      <c r="I99" s="24">
        <f t="shared" si="27"/>
        <v>5215769</v>
      </c>
      <c r="J99" s="24">
        <f t="shared" ref="J99" si="28">SUM(J85:J98)</f>
        <v>2839548</v>
      </c>
      <c r="L99" s="80">
        <f>SUM(C99:I99)</f>
        <v>22714660.550000001</v>
      </c>
    </row>
    <row r="100" spans="1:12" ht="13.5" customHeight="1">
      <c r="A100" s="250" t="s">
        <v>205</v>
      </c>
      <c r="B100" s="23"/>
      <c r="C100" s="24">
        <v>368285</v>
      </c>
      <c r="D100" s="24">
        <v>486660.77</v>
      </c>
      <c r="E100" s="24">
        <v>492540.35</v>
      </c>
      <c r="F100" s="24">
        <v>120716</v>
      </c>
      <c r="G100" s="24">
        <v>285447.52</v>
      </c>
      <c r="H100" s="24">
        <v>246704</v>
      </c>
      <c r="I100" s="24">
        <v>420971</v>
      </c>
      <c r="J100" s="24">
        <v>0</v>
      </c>
      <c r="L100" s="80">
        <f>SUM(C100:I100)</f>
        <v>2421324.64</v>
      </c>
    </row>
    <row r="101" spans="1:12" s="22" customFormat="1" ht="13.5" customHeight="1">
      <c r="A101" s="272" t="s">
        <v>202</v>
      </c>
      <c r="B101" s="195"/>
      <c r="C101" s="196">
        <f>+C99+C100</f>
        <v>2897384.4800000004</v>
      </c>
      <c r="D101" s="196">
        <f t="shared" ref="D101:I101" si="29">+D99+D100</f>
        <v>4870649.8800000008</v>
      </c>
      <c r="E101" s="196">
        <f t="shared" si="29"/>
        <v>2845702.1599999997</v>
      </c>
      <c r="F101" s="196">
        <f t="shared" si="29"/>
        <v>3118729</v>
      </c>
      <c r="G101" s="196">
        <f t="shared" si="29"/>
        <v>2558103.67</v>
      </c>
      <c r="H101" s="196">
        <f t="shared" si="29"/>
        <v>3208676</v>
      </c>
      <c r="I101" s="196">
        <f t="shared" si="29"/>
        <v>5636740</v>
      </c>
      <c r="J101" s="196">
        <f t="shared" ref="J101" si="30">+J99+J100</f>
        <v>2839548</v>
      </c>
      <c r="L101" s="80">
        <f>SUM(C101:I101)</f>
        <v>25135985.190000001</v>
      </c>
    </row>
    <row r="102" spans="1:12" ht="13.5" customHeight="1">
      <c r="A102" s="262" t="s">
        <v>203</v>
      </c>
      <c r="B102" s="29"/>
      <c r="C102" s="53"/>
      <c r="D102" s="54"/>
      <c r="E102" s="55"/>
      <c r="F102" s="55"/>
      <c r="G102" s="54"/>
      <c r="H102" s="54"/>
      <c r="I102" s="55"/>
      <c r="J102" s="55"/>
      <c r="L102" s="95"/>
    </row>
    <row r="103" spans="1:12" ht="13.5" customHeight="1">
      <c r="A103" s="267"/>
      <c r="B103" s="29" t="s">
        <v>105</v>
      </c>
      <c r="C103" s="30">
        <v>0</v>
      </c>
      <c r="D103" s="30">
        <v>803</v>
      </c>
      <c r="E103" s="19">
        <v>0</v>
      </c>
      <c r="F103" s="19">
        <v>0</v>
      </c>
      <c r="G103" s="30">
        <v>0</v>
      </c>
      <c r="H103" s="30">
        <v>3272</v>
      </c>
      <c r="I103" s="19">
        <v>-95</v>
      </c>
      <c r="J103" s="19">
        <v>0</v>
      </c>
      <c r="L103" s="80">
        <f t="shared" ref="L103:L112" si="31">SUM(C103:I103)</f>
        <v>3980</v>
      </c>
    </row>
    <row r="104" spans="1:12" ht="13.5" customHeight="1">
      <c r="A104" s="267"/>
      <c r="B104" s="29" t="s">
        <v>106</v>
      </c>
      <c r="C104" s="30">
        <v>59820.57</v>
      </c>
      <c r="D104" s="30">
        <v>60219</v>
      </c>
      <c r="E104" s="19">
        <v>84774.1</v>
      </c>
      <c r="F104" s="19">
        <v>25974</v>
      </c>
      <c r="G104" s="30">
        <v>243925</v>
      </c>
      <c r="H104" s="30">
        <v>24715</v>
      </c>
      <c r="I104" s="19">
        <v>15165</v>
      </c>
      <c r="J104" s="19">
        <v>6019</v>
      </c>
      <c r="L104" s="80">
        <f t="shared" si="31"/>
        <v>514592.67000000004</v>
      </c>
    </row>
    <row r="105" spans="1:12" ht="13.5" customHeight="1">
      <c r="A105" s="267"/>
      <c r="B105" s="29" t="s">
        <v>107</v>
      </c>
      <c r="C105" s="30">
        <v>5751.22</v>
      </c>
      <c r="D105" s="30">
        <v>12566.12</v>
      </c>
      <c r="E105" s="30">
        <v>18993.400000000001</v>
      </c>
      <c r="F105" s="19">
        <v>15628</v>
      </c>
      <c r="G105" s="30">
        <v>23774</v>
      </c>
      <c r="H105" s="30">
        <v>37959</v>
      </c>
      <c r="I105" s="19">
        <v>20009</v>
      </c>
      <c r="J105" s="19">
        <v>0</v>
      </c>
      <c r="L105" s="80">
        <f t="shared" si="31"/>
        <v>134680.74</v>
      </c>
    </row>
    <row r="106" spans="1:12" ht="13.5" customHeight="1">
      <c r="A106" s="267"/>
      <c r="B106" s="29" t="s">
        <v>108</v>
      </c>
      <c r="C106" s="30">
        <v>43390.68</v>
      </c>
      <c r="D106" s="30">
        <v>5100</v>
      </c>
      <c r="E106" s="19">
        <v>0</v>
      </c>
      <c r="F106" s="19">
        <v>25083</v>
      </c>
      <c r="G106" s="30">
        <v>50062</v>
      </c>
      <c r="H106" s="30">
        <v>118340</v>
      </c>
      <c r="I106" s="19">
        <v>18500</v>
      </c>
      <c r="J106" s="19">
        <v>796</v>
      </c>
      <c r="L106" s="80">
        <f t="shared" si="31"/>
        <v>260475.68</v>
      </c>
    </row>
    <row r="107" spans="1:12" ht="13.5" customHeight="1">
      <c r="A107" s="267"/>
      <c r="B107" s="29" t="s">
        <v>109</v>
      </c>
      <c r="C107" s="30">
        <v>32497.95</v>
      </c>
      <c r="D107" s="30">
        <v>12982.18</v>
      </c>
      <c r="E107" s="19">
        <v>78033.64</v>
      </c>
      <c r="F107" s="19">
        <v>0</v>
      </c>
      <c r="G107" s="30">
        <v>58805</v>
      </c>
      <c r="H107" s="30">
        <v>8674</v>
      </c>
      <c r="I107" s="19">
        <v>2500</v>
      </c>
      <c r="J107" s="19">
        <v>0</v>
      </c>
      <c r="L107" s="80">
        <f t="shared" si="31"/>
        <v>193492.77000000002</v>
      </c>
    </row>
    <row r="108" spans="1:12" ht="13.5" customHeight="1">
      <c r="A108" s="267"/>
      <c r="B108" s="29" t="s">
        <v>110</v>
      </c>
      <c r="C108" s="30">
        <v>23820.339999999997</v>
      </c>
      <c r="D108" s="30">
        <v>5500</v>
      </c>
      <c r="E108" s="19">
        <v>11500</v>
      </c>
      <c r="F108" s="19">
        <v>4184</v>
      </c>
      <c r="G108" s="30">
        <v>27432</v>
      </c>
      <c r="H108" s="30">
        <v>0</v>
      </c>
      <c r="I108" s="19">
        <v>79399</v>
      </c>
      <c r="J108" s="19">
        <v>0</v>
      </c>
      <c r="L108" s="80">
        <f t="shared" si="31"/>
        <v>151835.34</v>
      </c>
    </row>
    <row r="109" spans="1:12" ht="13.5" customHeight="1">
      <c r="A109" s="267"/>
      <c r="B109" s="29" t="s">
        <v>111</v>
      </c>
      <c r="C109" s="30">
        <v>87997.280000000013</v>
      </c>
      <c r="D109" s="30">
        <v>167799.45</v>
      </c>
      <c r="E109" s="19">
        <v>128999.38</v>
      </c>
      <c r="F109" s="19">
        <v>74056</v>
      </c>
      <c r="G109" s="30">
        <v>94635</v>
      </c>
      <c r="H109" s="30">
        <v>45321</v>
      </c>
      <c r="I109" s="19">
        <v>103743</v>
      </c>
      <c r="J109" s="19">
        <v>0</v>
      </c>
      <c r="L109" s="80">
        <f t="shared" si="31"/>
        <v>702551.1100000001</v>
      </c>
    </row>
    <row r="110" spans="1:12" ht="13.5" customHeight="1">
      <c r="A110" s="267"/>
      <c r="B110" s="29" t="s">
        <v>112</v>
      </c>
      <c r="C110" s="30">
        <v>0</v>
      </c>
      <c r="D110" s="30">
        <v>215042.47</v>
      </c>
      <c r="E110" s="19">
        <v>252055.53</v>
      </c>
      <c r="F110" s="19">
        <v>49058</v>
      </c>
      <c r="G110" s="30">
        <v>0</v>
      </c>
      <c r="H110" s="30">
        <v>0</v>
      </c>
      <c r="I110" s="19">
        <v>110449</v>
      </c>
      <c r="J110" s="19">
        <v>0</v>
      </c>
      <c r="L110" s="80">
        <f t="shared" si="31"/>
        <v>626605</v>
      </c>
    </row>
    <row r="111" spans="1:12" ht="13.5" customHeight="1">
      <c r="A111" s="267"/>
      <c r="B111" s="29" t="s">
        <v>208</v>
      </c>
      <c r="C111" s="18">
        <v>1191438</v>
      </c>
      <c r="D111" s="30">
        <v>1591865.09</v>
      </c>
      <c r="E111" s="19">
        <v>1683497.39</v>
      </c>
      <c r="F111" s="19">
        <v>378638</v>
      </c>
      <c r="G111" s="30">
        <v>1014839</v>
      </c>
      <c r="H111" s="30">
        <v>799136</v>
      </c>
      <c r="I111" s="19">
        <v>1434542</v>
      </c>
      <c r="J111" s="19">
        <v>0</v>
      </c>
      <c r="L111" s="80">
        <f t="shared" si="31"/>
        <v>8093955.4799999995</v>
      </c>
    </row>
    <row r="112" spans="1:12" ht="13.5" customHeight="1">
      <c r="A112" s="267"/>
      <c r="B112" s="29" t="s">
        <v>238</v>
      </c>
      <c r="C112" s="18">
        <v>0</v>
      </c>
      <c r="D112" s="30">
        <v>0</v>
      </c>
      <c r="E112" s="19">
        <v>0</v>
      </c>
      <c r="F112" s="19">
        <v>0</v>
      </c>
      <c r="G112" s="30">
        <v>0</v>
      </c>
      <c r="H112" s="30">
        <v>0</v>
      </c>
      <c r="I112" s="19">
        <v>0</v>
      </c>
      <c r="J112" s="19">
        <v>0</v>
      </c>
      <c r="L112" s="80">
        <f t="shared" si="31"/>
        <v>0</v>
      </c>
    </row>
    <row r="113" spans="1:12" ht="13.5" customHeight="1">
      <c r="A113" s="250" t="s">
        <v>207</v>
      </c>
      <c r="B113" s="23"/>
      <c r="C113" s="24">
        <f>SUM(C103:C112)</f>
        <v>1444716.04</v>
      </c>
      <c r="D113" s="24">
        <f t="shared" ref="D113:J113" si="32">SUM(D103:D112)</f>
        <v>2071877.31</v>
      </c>
      <c r="E113" s="24">
        <f t="shared" si="32"/>
        <v>2257853.4399999999</v>
      </c>
      <c r="F113" s="24">
        <f t="shared" si="32"/>
        <v>572621</v>
      </c>
      <c r="G113" s="24">
        <f t="shared" si="32"/>
        <v>1513472</v>
      </c>
      <c r="H113" s="24">
        <f t="shared" si="32"/>
        <v>1037417</v>
      </c>
      <c r="I113" s="24">
        <f t="shared" si="32"/>
        <v>1784212</v>
      </c>
      <c r="J113" s="24">
        <f t="shared" si="32"/>
        <v>6815</v>
      </c>
      <c r="L113" s="80">
        <f t="shared" ref="L113:L124" si="33">SUM(C113:I113)</f>
        <v>10682168.789999999</v>
      </c>
    </row>
    <row r="114" spans="1:12" ht="13.5" customHeight="1">
      <c r="A114" s="250" t="s">
        <v>206</v>
      </c>
      <c r="B114" s="23"/>
      <c r="C114" s="24">
        <v>11119</v>
      </c>
      <c r="D114" s="24">
        <v>14856.25</v>
      </c>
      <c r="E114" s="24">
        <v>15711.42</v>
      </c>
      <c r="F114" s="24">
        <v>3534</v>
      </c>
      <c r="G114" s="24">
        <v>9471</v>
      </c>
      <c r="H114" s="24">
        <v>7458</v>
      </c>
      <c r="I114" s="24">
        <v>13388</v>
      </c>
      <c r="J114" s="24">
        <v>0</v>
      </c>
      <c r="L114" s="80">
        <f t="shared" si="33"/>
        <v>75537.67</v>
      </c>
    </row>
    <row r="115" spans="1:12" s="22" customFormat="1" ht="13.5" customHeight="1">
      <c r="A115" s="272" t="s">
        <v>204</v>
      </c>
      <c r="B115" s="195"/>
      <c r="C115" s="196">
        <f>+C113+C114</f>
        <v>1455835.04</v>
      </c>
      <c r="D115" s="196">
        <f t="shared" ref="D115:I115" si="34">+D113+D114</f>
        <v>2086733.56</v>
      </c>
      <c r="E115" s="196">
        <f t="shared" si="34"/>
        <v>2273564.86</v>
      </c>
      <c r="F115" s="196">
        <f t="shared" si="34"/>
        <v>576155</v>
      </c>
      <c r="G115" s="196">
        <f t="shared" si="34"/>
        <v>1522943</v>
      </c>
      <c r="H115" s="196">
        <f t="shared" si="34"/>
        <v>1044875</v>
      </c>
      <c r="I115" s="196">
        <f t="shared" si="34"/>
        <v>1797600</v>
      </c>
      <c r="J115" s="196">
        <f t="shared" ref="J115" si="35">+J113+J114</f>
        <v>6815</v>
      </c>
      <c r="L115" s="80">
        <f t="shared" si="33"/>
        <v>10757706.460000001</v>
      </c>
    </row>
    <row r="116" spans="1:12" ht="13.5" customHeight="1">
      <c r="A116" s="262" t="s">
        <v>113</v>
      </c>
      <c r="B116" s="29"/>
      <c r="C116" s="54"/>
      <c r="D116" s="54"/>
      <c r="E116" s="55"/>
      <c r="F116" s="55"/>
      <c r="G116" s="54"/>
      <c r="H116" s="54"/>
      <c r="I116" s="55"/>
      <c r="J116" s="55"/>
      <c r="L116" s="95">
        <f t="shared" si="33"/>
        <v>0</v>
      </c>
    </row>
    <row r="117" spans="1:12" ht="13.5" customHeight="1">
      <c r="A117" s="267"/>
      <c r="B117" s="29" t="s">
        <v>114</v>
      </c>
      <c r="C117" s="30">
        <v>-1046</v>
      </c>
      <c r="D117" s="30">
        <v>0</v>
      </c>
      <c r="E117" s="19">
        <v>0</v>
      </c>
      <c r="F117" s="19">
        <v>295362</v>
      </c>
      <c r="G117" s="30">
        <v>22429.83</v>
      </c>
      <c r="H117" s="30">
        <v>163652</v>
      </c>
      <c r="I117" s="19">
        <v>502490</v>
      </c>
      <c r="J117" s="19">
        <v>0</v>
      </c>
      <c r="L117" s="80">
        <f t="shared" si="33"/>
        <v>982887.83000000007</v>
      </c>
    </row>
    <row r="118" spans="1:12" ht="13.5" customHeight="1">
      <c r="A118" s="267"/>
      <c r="B118" s="29" t="s">
        <v>40</v>
      </c>
      <c r="C118" s="30">
        <f>C64</f>
        <v>-65781</v>
      </c>
      <c r="D118" s="30">
        <f t="shared" ref="D118:I118" si="36">D64</f>
        <v>312182.74</v>
      </c>
      <c r="E118" s="30">
        <f t="shared" si="36"/>
        <v>-232703.41000000015</v>
      </c>
      <c r="F118" s="30">
        <f t="shared" si="36"/>
        <v>994093</v>
      </c>
      <c r="G118" s="30">
        <f t="shared" si="36"/>
        <v>40548.57</v>
      </c>
      <c r="H118" s="30">
        <f t="shared" si="36"/>
        <v>155145</v>
      </c>
      <c r="I118" s="30">
        <f t="shared" si="36"/>
        <v>263273</v>
      </c>
      <c r="J118" s="18">
        <f t="shared" ref="J118" si="37">J64</f>
        <v>531478</v>
      </c>
      <c r="L118" s="80">
        <f t="shared" si="33"/>
        <v>1466757.9</v>
      </c>
    </row>
    <row r="119" spans="1:12" ht="13.5" customHeight="1">
      <c r="A119" s="267"/>
      <c r="B119" s="29" t="s">
        <v>234</v>
      </c>
      <c r="C119" s="30">
        <f>C65</f>
        <v>-834272</v>
      </c>
      <c r="D119" s="30">
        <f t="shared" ref="D119:I121" si="38">D65</f>
        <v>-1120060.57</v>
      </c>
      <c r="E119" s="30">
        <f t="shared" si="38"/>
        <v>-1206668.46</v>
      </c>
      <c r="F119" s="30">
        <f t="shared" si="38"/>
        <v>-261456</v>
      </c>
      <c r="G119" s="30">
        <f t="shared" si="38"/>
        <v>-738862.48</v>
      </c>
      <c r="H119" s="30">
        <f t="shared" si="38"/>
        <v>-559890</v>
      </c>
      <c r="I119" s="30">
        <f t="shared" si="38"/>
        <v>-1026959</v>
      </c>
      <c r="J119" s="18">
        <f t="shared" ref="J119" si="39">J65</f>
        <v>0</v>
      </c>
      <c r="L119" s="80">
        <f t="shared" si="33"/>
        <v>-5748168.5099999998</v>
      </c>
    </row>
    <row r="120" spans="1:12" ht="13.5" customHeight="1">
      <c r="A120" s="267"/>
      <c r="B120" s="29" t="s">
        <v>41</v>
      </c>
      <c r="C120" s="30">
        <f>C66</f>
        <v>-1049.04</v>
      </c>
      <c r="D120" s="30">
        <f t="shared" si="38"/>
        <v>0</v>
      </c>
      <c r="E120" s="30">
        <f t="shared" si="38"/>
        <v>0</v>
      </c>
      <c r="F120" s="30">
        <f t="shared" si="38"/>
        <v>0</v>
      </c>
      <c r="G120" s="30">
        <f t="shared" si="38"/>
        <v>0</v>
      </c>
      <c r="H120" s="30">
        <f t="shared" si="38"/>
        <v>0</v>
      </c>
      <c r="I120" s="30">
        <f t="shared" si="38"/>
        <v>0</v>
      </c>
      <c r="J120" s="18">
        <f t="shared" ref="J120" si="40">J66</f>
        <v>0</v>
      </c>
      <c r="L120" s="80">
        <f t="shared" si="33"/>
        <v>-1049.04</v>
      </c>
    </row>
    <row r="121" spans="1:12" ht="13.5" customHeight="1">
      <c r="A121" s="267"/>
      <c r="B121" s="29" t="s">
        <v>115</v>
      </c>
      <c r="C121" s="30">
        <f>C67</f>
        <v>2343697.1399999997</v>
      </c>
      <c r="D121" s="30">
        <f t="shared" si="38"/>
        <v>3591794.44</v>
      </c>
      <c r="E121" s="30">
        <f t="shared" si="38"/>
        <v>2011509.1499999997</v>
      </c>
      <c r="F121" s="30">
        <f t="shared" si="38"/>
        <v>1514575</v>
      </c>
      <c r="G121" s="30">
        <f t="shared" si="38"/>
        <v>1711045.72</v>
      </c>
      <c r="H121" s="30">
        <f t="shared" si="38"/>
        <v>2404894</v>
      </c>
      <c r="I121" s="30">
        <f t="shared" si="38"/>
        <v>4100336</v>
      </c>
      <c r="J121" s="18">
        <f t="shared" ref="J121" si="41">J67</f>
        <v>2301255</v>
      </c>
      <c r="L121" s="80">
        <f t="shared" si="33"/>
        <v>17677851.450000003</v>
      </c>
    </row>
    <row r="122" spans="1:12" ht="13.5" customHeight="1">
      <c r="A122" s="273"/>
      <c r="B122" s="60" t="s">
        <v>162</v>
      </c>
      <c r="C122" s="62">
        <v>0</v>
      </c>
      <c r="D122" s="62">
        <v>0</v>
      </c>
      <c r="E122" s="63">
        <v>0</v>
      </c>
      <c r="F122" s="63">
        <v>0</v>
      </c>
      <c r="G122" s="62">
        <v>0</v>
      </c>
      <c r="H122" s="62">
        <v>0</v>
      </c>
      <c r="I122" s="63">
        <v>0</v>
      </c>
      <c r="J122" s="63"/>
      <c r="L122" s="95">
        <f t="shared" si="33"/>
        <v>0</v>
      </c>
    </row>
    <row r="123" spans="1:12" s="22" customFormat="1" ht="13.5" customHeight="1">
      <c r="A123" s="250" t="s">
        <v>43</v>
      </c>
      <c r="B123" s="64"/>
      <c r="C123" s="65">
        <f>SUM(C117:C122)</f>
        <v>1441549.0999999996</v>
      </c>
      <c r="D123" s="65">
        <f t="shared" ref="D123:I123" si="42">SUM(D117:D122)</f>
        <v>2783916.61</v>
      </c>
      <c r="E123" s="65">
        <f t="shared" si="42"/>
        <v>572137.27999999956</v>
      </c>
      <c r="F123" s="65">
        <f t="shared" si="42"/>
        <v>2542574</v>
      </c>
      <c r="G123" s="65">
        <f t="shared" si="42"/>
        <v>1035161.64</v>
      </c>
      <c r="H123" s="65">
        <f t="shared" si="42"/>
        <v>2163801</v>
      </c>
      <c r="I123" s="65">
        <f t="shared" si="42"/>
        <v>3839140</v>
      </c>
      <c r="J123" s="65">
        <f t="shared" ref="J123" si="43">SUM(J117:J122)</f>
        <v>2832733</v>
      </c>
      <c r="L123" s="80">
        <f t="shared" si="33"/>
        <v>14378279.629999999</v>
      </c>
    </row>
    <row r="124" spans="1:12" s="22" customFormat="1">
      <c r="A124" s="272" t="s">
        <v>209</v>
      </c>
      <c r="B124" s="195"/>
      <c r="C124" s="196">
        <f>SUM(C115:C122)</f>
        <v>2897384.1399999997</v>
      </c>
      <c r="D124" s="196">
        <f t="shared" ref="D124:I124" si="44">SUM(D115:D122)</f>
        <v>4870650.17</v>
      </c>
      <c r="E124" s="196">
        <f t="shared" si="44"/>
        <v>2845702.1399999997</v>
      </c>
      <c r="F124" s="196">
        <f t="shared" si="44"/>
        <v>3118729</v>
      </c>
      <c r="G124" s="196">
        <f t="shared" si="44"/>
        <v>2558104.64</v>
      </c>
      <c r="H124" s="196">
        <f t="shared" si="44"/>
        <v>3208676</v>
      </c>
      <c r="I124" s="196">
        <f t="shared" si="44"/>
        <v>5636740</v>
      </c>
      <c r="J124" s="196">
        <f t="shared" ref="J124" si="45">SUM(J115:J122)</f>
        <v>2839548</v>
      </c>
      <c r="L124" s="80">
        <f t="shared" si="33"/>
        <v>25135986.09</v>
      </c>
    </row>
    <row r="125" spans="1:12">
      <c r="B125" s="10" t="s">
        <v>85</v>
      </c>
      <c r="C125" s="104">
        <f t="shared" ref="C125:I125" si="46">+C101-C124</f>
        <v>0.34000000078231096</v>
      </c>
      <c r="D125" s="104">
        <f t="shared" si="46"/>
        <v>-0.28999999910593033</v>
      </c>
      <c r="E125" s="104">
        <f t="shared" si="46"/>
        <v>2.0000000018626451E-2</v>
      </c>
      <c r="F125" s="104">
        <f t="shared" si="46"/>
        <v>0</v>
      </c>
      <c r="G125" s="104">
        <f t="shared" si="46"/>
        <v>-0.97000000020489097</v>
      </c>
      <c r="H125" s="104">
        <f t="shared" si="46"/>
        <v>0</v>
      </c>
      <c r="I125" s="104">
        <f t="shared" si="46"/>
        <v>0</v>
      </c>
      <c r="J125" s="218">
        <f t="shared" ref="J125" si="47">+J101-J124</f>
        <v>0</v>
      </c>
    </row>
    <row r="126" spans="1:12">
      <c r="C126" s="104">
        <f>+C115+C123-C124</f>
        <v>0</v>
      </c>
      <c r="D126" s="104"/>
      <c r="E126" s="104"/>
      <c r="F126" s="104"/>
      <c r="G126" s="104"/>
      <c r="H126" s="104"/>
      <c r="I126" s="104"/>
      <c r="J126" s="91"/>
    </row>
    <row r="127" spans="1:12" ht="27.75" customHeight="1">
      <c r="A127" s="333" t="s">
        <v>116</v>
      </c>
      <c r="B127" s="334"/>
      <c r="C127" s="338">
        <f t="shared" ref="C127:I127" si="48">C57/(C32)</f>
        <v>2.3538291265717597E-2</v>
      </c>
      <c r="D127" s="338">
        <f t="shared" si="48"/>
        <v>-3.5149573713517384E-3</v>
      </c>
      <c r="E127" s="338">
        <f t="shared" si="48"/>
        <v>0.10469028071576401</v>
      </c>
      <c r="F127" s="338">
        <f t="shared" si="48"/>
        <v>5.426069518243138E-2</v>
      </c>
      <c r="G127" s="338">
        <f t="shared" si="48"/>
        <v>-9.8783612171842991E-2</v>
      </c>
      <c r="H127" s="338">
        <f t="shared" si="48"/>
        <v>8.2186154895683549E-3</v>
      </c>
      <c r="I127" s="338">
        <f t="shared" si="48"/>
        <v>3.5659750047682291E-3</v>
      </c>
      <c r="J127" s="338">
        <f t="shared" ref="J127" si="49">J57/(J32)</f>
        <v>1.1183373134265626E-2</v>
      </c>
    </row>
    <row r="128" spans="1:12" ht="24">
      <c r="A128" s="241"/>
      <c r="B128" s="242" t="s">
        <v>117</v>
      </c>
      <c r="C128" s="338"/>
      <c r="D128" s="338"/>
      <c r="E128" s="338"/>
      <c r="F128" s="338"/>
      <c r="G128" s="338"/>
      <c r="H128" s="338"/>
      <c r="I128" s="338"/>
      <c r="J128" s="338"/>
    </row>
    <row r="129" spans="1:11" ht="14.25">
      <c r="A129" s="243" t="s">
        <v>190</v>
      </c>
      <c r="B129" s="244"/>
      <c r="C129" s="339">
        <f t="shared" ref="C129:I129" si="50">(SUM(C87:C88))/SUM(C103:C108)</f>
        <v>1.1080508100277369</v>
      </c>
      <c r="D129" s="339">
        <f t="shared" si="50"/>
        <v>5.7928523427425871</v>
      </c>
      <c r="E129" s="339">
        <f t="shared" si="50"/>
        <v>0.45003909444093293</v>
      </c>
      <c r="F129" s="339">
        <f t="shared" si="50"/>
        <v>20.93211418250575</v>
      </c>
      <c r="G129" s="339">
        <f t="shared" si="50"/>
        <v>1.3901325996663352</v>
      </c>
      <c r="H129" s="339">
        <f t="shared" si="50"/>
        <v>2.8870180348258705</v>
      </c>
      <c r="I129" s="339">
        <f t="shared" si="50"/>
        <v>3.9353105301229721</v>
      </c>
      <c r="J129" s="339">
        <f t="shared" ref="J129" si="51">(SUM(J87:J88))/SUM(J103:J108)</f>
        <v>78.986500366837859</v>
      </c>
    </row>
    <row r="130" spans="1:11" ht="36">
      <c r="A130" s="245"/>
      <c r="B130" s="246" t="s">
        <v>191</v>
      </c>
      <c r="C130" s="340"/>
      <c r="D130" s="340"/>
      <c r="E130" s="340"/>
      <c r="F130" s="340"/>
      <c r="G130" s="340"/>
      <c r="H130" s="340"/>
      <c r="I130" s="340"/>
      <c r="J130" s="340"/>
    </row>
    <row r="131" spans="1:11" ht="14.25">
      <c r="A131" s="243" t="s">
        <v>192</v>
      </c>
      <c r="B131" s="244"/>
      <c r="C131" s="339">
        <f t="shared" ref="C131:I131" si="52">(SUM(C87:C88))/SUM(C103:C109)</f>
        <v>0.72307682103035842</v>
      </c>
      <c r="D131" s="339">
        <f t="shared" si="52"/>
        <v>2.1243677816052586</v>
      </c>
      <c r="E131" s="339">
        <f t="shared" si="52"/>
        <v>0.26991290612872731</v>
      </c>
      <c r="F131" s="339">
        <f t="shared" si="52"/>
        <v>10.235901328273245</v>
      </c>
      <c r="G131" s="339">
        <f t="shared" si="52"/>
        <v>1.1263008866240303</v>
      </c>
      <c r="H131" s="339">
        <f t="shared" si="52"/>
        <v>2.3379077643622446</v>
      </c>
      <c r="I131" s="339">
        <f t="shared" si="52"/>
        <v>2.2286839366109161</v>
      </c>
      <c r="J131" s="339">
        <f t="shared" ref="J131" si="53">(SUM(J87:J88))/SUM(J103:J109)</f>
        <v>78.986500366837859</v>
      </c>
    </row>
    <row r="132" spans="1:11" ht="24">
      <c r="A132" s="245"/>
      <c r="B132" s="246" t="s">
        <v>193</v>
      </c>
      <c r="C132" s="340"/>
      <c r="D132" s="340"/>
      <c r="E132" s="340"/>
      <c r="F132" s="340"/>
      <c r="G132" s="340"/>
      <c r="H132" s="340"/>
      <c r="I132" s="340"/>
      <c r="J132" s="340"/>
    </row>
    <row r="133" spans="1:11" s="151" customFormat="1" ht="8.1" customHeight="1">
      <c r="A133" s="152"/>
      <c r="B133" s="153"/>
      <c r="C133" s="154"/>
      <c r="D133" s="154"/>
      <c r="E133" s="154"/>
      <c r="F133" s="154"/>
      <c r="G133" s="154"/>
      <c r="H133" s="154"/>
      <c r="I133" s="154"/>
      <c r="J133" s="155"/>
      <c r="K133" s="165"/>
    </row>
    <row r="134" spans="1:11">
      <c r="A134" s="248" t="s">
        <v>118</v>
      </c>
      <c r="B134" s="64"/>
      <c r="C134" s="337">
        <f t="shared" ref="C134:I134" si="54">C115/C101</f>
        <v>0.50246525790736607</v>
      </c>
      <c r="D134" s="337">
        <f t="shared" si="54"/>
        <v>0.42843021186322672</v>
      </c>
      <c r="E134" s="337">
        <f t="shared" si="54"/>
        <v>0.7989468792475457</v>
      </c>
      <c r="F134" s="337">
        <f t="shared" si="54"/>
        <v>0.18474032209916283</v>
      </c>
      <c r="G134" s="337">
        <f t="shared" si="54"/>
        <v>0.59534061025759755</v>
      </c>
      <c r="H134" s="337">
        <f t="shared" si="54"/>
        <v>0.32564054457352504</v>
      </c>
      <c r="I134" s="337">
        <f t="shared" si="54"/>
        <v>0.31890773745107986</v>
      </c>
      <c r="J134" s="337">
        <f t="shared" ref="J134" si="55">J115/J101</f>
        <v>2.4000298639079176E-3</v>
      </c>
    </row>
    <row r="135" spans="1:11" ht="25.5">
      <c r="A135" s="241"/>
      <c r="B135" s="247" t="s">
        <v>119</v>
      </c>
      <c r="C135" s="337"/>
      <c r="D135" s="337"/>
      <c r="E135" s="337"/>
      <c r="F135" s="337"/>
      <c r="G135" s="337"/>
      <c r="H135" s="337"/>
      <c r="I135" s="337"/>
      <c r="J135" s="337"/>
    </row>
    <row r="136" spans="1:11">
      <c r="A136" s="248" t="s">
        <v>120</v>
      </c>
      <c r="B136" s="249"/>
      <c r="C136" s="337">
        <f t="shared" ref="C136:I136" si="56">C123/C101</f>
        <v>0.49753462474541849</v>
      </c>
      <c r="D136" s="337">
        <f t="shared" si="56"/>
        <v>0.5715698476770823</v>
      </c>
      <c r="E136" s="337">
        <f t="shared" si="56"/>
        <v>0.20105311372431175</v>
      </c>
      <c r="F136" s="337">
        <f t="shared" si="56"/>
        <v>0.8152596779008372</v>
      </c>
      <c r="G136" s="337">
        <f t="shared" si="56"/>
        <v>0.40465976892953681</v>
      </c>
      <c r="H136" s="337">
        <f t="shared" si="56"/>
        <v>0.67435945542647502</v>
      </c>
      <c r="I136" s="337">
        <f t="shared" si="56"/>
        <v>0.68109226254892008</v>
      </c>
      <c r="J136" s="337">
        <f t="shared" ref="J136" si="57">J123/J101</f>
        <v>0.99759997013609203</v>
      </c>
    </row>
    <row r="137" spans="1:11" ht="24">
      <c r="A137" s="241"/>
      <c r="B137" s="242" t="s">
        <v>121</v>
      </c>
      <c r="C137" s="337"/>
      <c r="D137" s="337"/>
      <c r="E137" s="337"/>
      <c r="F137" s="337"/>
      <c r="G137" s="337"/>
      <c r="H137" s="337"/>
      <c r="I137" s="337"/>
      <c r="J137" s="337"/>
    </row>
    <row r="138" spans="1:11">
      <c r="A138" s="335" t="s">
        <v>122</v>
      </c>
      <c r="B138" s="336"/>
      <c r="C138" s="337">
        <f t="shared" ref="C138:I138" si="58">C115/C123</f>
        <v>1.0099101307059193</v>
      </c>
      <c r="D138" s="337">
        <f t="shared" si="58"/>
        <v>0.74956755259993224</v>
      </c>
      <c r="E138" s="337">
        <f t="shared" si="58"/>
        <v>3.9738100268522993</v>
      </c>
      <c r="F138" s="337">
        <f t="shared" si="58"/>
        <v>0.22660304085544805</v>
      </c>
      <c r="G138" s="337">
        <f t="shared" si="58"/>
        <v>1.4712127470256722</v>
      </c>
      <c r="H138" s="337">
        <f t="shared" si="58"/>
        <v>0.48288867599192348</v>
      </c>
      <c r="I138" s="337">
        <f t="shared" si="58"/>
        <v>0.46822986397995386</v>
      </c>
      <c r="J138" s="337">
        <f t="shared" ref="J138" si="59">J115/J123</f>
        <v>2.4058038650306966E-3</v>
      </c>
    </row>
    <row r="139" spans="1:11">
      <c r="A139" s="241"/>
      <c r="B139" s="242" t="s">
        <v>123</v>
      </c>
      <c r="C139" s="337"/>
      <c r="D139" s="337"/>
      <c r="E139" s="337"/>
      <c r="F139" s="337"/>
      <c r="G139" s="337"/>
      <c r="H139" s="337"/>
      <c r="I139" s="337"/>
      <c r="J139" s="337"/>
    </row>
    <row r="140" spans="1:11" s="151" customFormat="1" ht="8.1" customHeight="1">
      <c r="A140" s="156"/>
      <c r="B140" s="157"/>
      <c r="C140" s="157"/>
      <c r="D140" s="157"/>
      <c r="E140" s="157"/>
      <c r="F140" s="157"/>
      <c r="G140" s="157"/>
      <c r="H140" s="157"/>
      <c r="I140" s="157"/>
      <c r="J140" s="171"/>
      <c r="K140" s="165"/>
    </row>
    <row r="141" spans="1:11">
      <c r="A141" s="250" t="s">
        <v>124</v>
      </c>
      <c r="B141" s="23"/>
      <c r="C141" s="54">
        <v>6</v>
      </c>
      <c r="D141" s="54">
        <v>10</v>
      </c>
      <c r="E141" s="55">
        <v>7</v>
      </c>
      <c r="F141" s="55">
        <v>1</v>
      </c>
      <c r="G141" s="54">
        <v>6</v>
      </c>
      <c r="H141" s="54">
        <v>5</v>
      </c>
      <c r="I141" s="55">
        <v>7</v>
      </c>
      <c r="J141" s="70">
        <v>1</v>
      </c>
      <c r="K141" s="113">
        <f>AVERAGE(C141:J141)</f>
        <v>5.375</v>
      </c>
    </row>
    <row r="142" spans="1:11" s="151" customFormat="1" ht="8.1" customHeight="1">
      <c r="A142" s="162"/>
      <c r="B142" s="157"/>
      <c r="C142" s="157"/>
      <c r="D142" s="157"/>
      <c r="E142" s="157"/>
      <c r="F142" s="157"/>
      <c r="G142" s="157"/>
      <c r="H142" s="157"/>
      <c r="I142" s="157"/>
      <c r="J142" s="171"/>
      <c r="K142" s="168"/>
    </row>
    <row r="143" spans="1:11">
      <c r="A143" s="252" t="s">
        <v>125</v>
      </c>
      <c r="B143" s="252"/>
      <c r="C143" s="173">
        <v>26881</v>
      </c>
      <c r="D143" s="173">
        <v>58663</v>
      </c>
      <c r="E143" s="164">
        <v>39400</v>
      </c>
      <c r="F143" s="164">
        <v>57970</v>
      </c>
      <c r="G143" s="173">
        <v>53056</v>
      </c>
      <c r="H143" s="173">
        <v>42428</v>
      </c>
      <c r="I143" s="164">
        <v>51368</v>
      </c>
      <c r="J143" s="164">
        <v>79963</v>
      </c>
      <c r="K143" s="114">
        <f>AVERAGE(C143:J143)</f>
        <v>51216.125</v>
      </c>
    </row>
    <row r="144" spans="1:11">
      <c r="A144" s="251" t="s">
        <v>126</v>
      </c>
      <c r="B144" s="251"/>
      <c r="C144" s="173">
        <v>13096</v>
      </c>
      <c r="D144" s="173">
        <v>29884</v>
      </c>
      <c r="E144" s="55">
        <v>240</v>
      </c>
      <c r="F144" s="55">
        <v>50902</v>
      </c>
      <c r="G144" s="173">
        <v>10232</v>
      </c>
      <c r="H144" s="173">
        <v>12852</v>
      </c>
      <c r="I144" s="164">
        <v>13381</v>
      </c>
      <c r="J144" s="164">
        <v>18700</v>
      </c>
      <c r="K144" s="114">
        <f>AVERAGE(C144:J144)</f>
        <v>18660.875</v>
      </c>
    </row>
    <row r="145" spans="1:11">
      <c r="A145" s="251" t="s">
        <v>127</v>
      </c>
      <c r="B145" s="251"/>
      <c r="C145" s="173">
        <v>39977</v>
      </c>
      <c r="D145" s="173">
        <v>88547</v>
      </c>
      <c r="E145" s="164">
        <v>39640</v>
      </c>
      <c r="F145" s="164">
        <v>108872</v>
      </c>
      <c r="G145" s="173">
        <v>63288</v>
      </c>
      <c r="H145" s="173">
        <v>55280</v>
      </c>
      <c r="I145" s="164">
        <v>64749</v>
      </c>
      <c r="J145" s="164">
        <v>98663</v>
      </c>
      <c r="K145" s="114">
        <f>AVERAGE(C145:J145)</f>
        <v>69877</v>
      </c>
    </row>
    <row r="147" spans="1:11">
      <c r="F147" s="10"/>
    </row>
    <row r="148" spans="1:11">
      <c r="A148" s="192"/>
      <c r="B148" s="52"/>
      <c r="E148" s="10"/>
      <c r="F148" s="10"/>
      <c r="I148" s="10"/>
      <c r="J148" s="10"/>
      <c r="K148" s="10"/>
    </row>
    <row r="149" spans="1:11">
      <c r="A149" s="192"/>
      <c r="B149" s="52"/>
      <c r="E149" s="10"/>
      <c r="F149" s="10"/>
      <c r="I149" s="10"/>
      <c r="J149" s="10"/>
      <c r="K149" s="10"/>
    </row>
  </sheetData>
  <mergeCells count="60">
    <mergeCell ref="I138:I139"/>
    <mergeCell ref="J138:J139"/>
    <mergeCell ref="D138:D139"/>
    <mergeCell ref="E138:E139"/>
    <mergeCell ref="F138:F139"/>
    <mergeCell ref="G138:G139"/>
    <mergeCell ref="H138:H139"/>
    <mergeCell ref="I134:I135"/>
    <mergeCell ref="J134:J135"/>
    <mergeCell ref="D136:D137"/>
    <mergeCell ref="E136:E137"/>
    <mergeCell ref="F136:F137"/>
    <mergeCell ref="G136:G137"/>
    <mergeCell ref="H136:H137"/>
    <mergeCell ref="I136:I137"/>
    <mergeCell ref="J136:J137"/>
    <mergeCell ref="D134:D135"/>
    <mergeCell ref="E134:E135"/>
    <mergeCell ref="F134:F135"/>
    <mergeCell ref="G134:G135"/>
    <mergeCell ref="H134:H135"/>
    <mergeCell ref="J129:J130"/>
    <mergeCell ref="D131:D132"/>
    <mergeCell ref="E131:E132"/>
    <mergeCell ref="F131:F132"/>
    <mergeCell ref="G131:G132"/>
    <mergeCell ref="H131:H132"/>
    <mergeCell ref="I131:I132"/>
    <mergeCell ref="J131:J132"/>
    <mergeCell ref="E129:E130"/>
    <mergeCell ref="F129:F130"/>
    <mergeCell ref="G129:G130"/>
    <mergeCell ref="H129:H130"/>
    <mergeCell ref="I129:I130"/>
    <mergeCell ref="F127:F128"/>
    <mergeCell ref="G127:G128"/>
    <mergeCell ref="H127:H128"/>
    <mergeCell ref="I127:I128"/>
    <mergeCell ref="J127:J128"/>
    <mergeCell ref="H2:H3"/>
    <mergeCell ref="I2:I3"/>
    <mergeCell ref="J2:J3"/>
    <mergeCell ref="F2:F3"/>
    <mergeCell ref="G2:G3"/>
    <mergeCell ref="A138:B138"/>
    <mergeCell ref="A1:B3"/>
    <mergeCell ref="C2:C3"/>
    <mergeCell ref="D2:D3"/>
    <mergeCell ref="E2:E3"/>
    <mergeCell ref="A81:B82"/>
    <mergeCell ref="A127:B127"/>
    <mergeCell ref="C127:C128"/>
    <mergeCell ref="C129:C130"/>
    <mergeCell ref="C131:C132"/>
    <mergeCell ref="C134:C135"/>
    <mergeCell ref="C136:C137"/>
    <mergeCell ref="C138:C139"/>
    <mergeCell ref="D127:D128"/>
    <mergeCell ref="E127:E128"/>
    <mergeCell ref="D129:D130"/>
  </mergeCells>
  <conditionalFormatting sqref="C127:I128">
    <cfRule type="cellIs" dxfId="25" priority="8" operator="lessThan">
      <formula>0</formula>
    </cfRule>
  </conditionalFormatting>
  <conditionalFormatting sqref="C69:I69">
    <cfRule type="cellIs" dxfId="24" priority="7" operator="lessThan">
      <formula>0</formula>
    </cfRule>
  </conditionalFormatting>
  <conditionalFormatting sqref="J127:J128">
    <cfRule type="cellIs" dxfId="23" priority="2" operator="lessThan">
      <formula>0</formula>
    </cfRule>
  </conditionalFormatting>
  <conditionalFormatting sqref="J69">
    <cfRule type="cellIs" dxfId="22" priority="1" operator="lessThan">
      <formula>0</formula>
    </cfRule>
  </conditionalFormatting>
  <printOptions horizontalCentered="1"/>
  <pageMargins left="0.5" right="0.5" top="0.75" bottom="0.35" header="0.5" footer="0.15"/>
  <pageSetup scale="64" fitToWidth="2" fitToHeight="2" orientation="portrait" r:id="rId1"/>
  <headerFooter alignWithMargins="0">
    <oddHeader>&amp;C&amp;"Arial,Bold"&amp;12CLASS IV FAIRS</oddHeader>
    <oddFooter>&amp;CFairs and Expositions</oddFooter>
  </headerFooter>
  <rowBreaks count="1" manualBreakCount="1">
    <brk id="80" max="9" man="1"/>
  </rowBreaks>
  <colBreaks count="1" manualBreakCount="1">
    <brk id="8" max="143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45"/>
  <sheetViews>
    <sheetView view="pageBreakPreview" zoomScale="85" zoomScaleNormal="10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A61" sqref="A61"/>
    </sheetView>
  </sheetViews>
  <sheetFormatPr defaultRowHeight="12.75"/>
  <cols>
    <col min="1" max="1" width="4.7109375" style="10" customWidth="1"/>
    <col min="2" max="2" width="56.42578125" style="10" customWidth="1"/>
    <col min="3" max="5" width="12.7109375" style="10" customWidth="1"/>
    <col min="6" max="8" width="12.7109375" style="48" customWidth="1"/>
    <col min="9" max="9" width="13.42578125" style="10" customWidth="1"/>
    <col min="10" max="10" width="12.140625" style="10" customWidth="1"/>
    <col min="11" max="16384" width="9.140625" style="10"/>
  </cols>
  <sheetData>
    <row r="1" spans="1:10" ht="12" customHeight="1">
      <c r="A1" s="318"/>
      <c r="B1" s="319"/>
      <c r="C1" s="260"/>
      <c r="D1" s="260"/>
      <c r="E1" s="260"/>
      <c r="F1" s="260"/>
      <c r="G1" s="260"/>
      <c r="H1" s="260"/>
    </row>
    <row r="2" spans="1:10" ht="12" customHeight="1">
      <c r="A2" s="320"/>
      <c r="B2" s="321"/>
      <c r="C2" s="349" t="s">
        <v>169</v>
      </c>
      <c r="D2" s="327" t="s">
        <v>170</v>
      </c>
      <c r="E2" s="327" t="s">
        <v>171</v>
      </c>
      <c r="F2" s="341" t="s">
        <v>237</v>
      </c>
      <c r="G2" s="327" t="s">
        <v>172</v>
      </c>
      <c r="H2" s="327" t="s">
        <v>173</v>
      </c>
    </row>
    <row r="3" spans="1:10" ht="69" customHeight="1">
      <c r="A3" s="322"/>
      <c r="B3" s="323"/>
      <c r="C3" s="350"/>
      <c r="D3" s="328"/>
      <c r="E3" s="328"/>
      <c r="F3" s="342"/>
      <c r="G3" s="328"/>
      <c r="H3" s="328"/>
      <c r="J3" s="10" t="s">
        <v>39</v>
      </c>
    </row>
    <row r="4" spans="1:10" ht="13.5" customHeight="1">
      <c r="A4" s="262" t="s">
        <v>227</v>
      </c>
      <c r="B4" s="12"/>
      <c r="C4" s="38"/>
      <c r="D4" s="38"/>
      <c r="E4" s="38"/>
      <c r="F4" s="37"/>
      <c r="G4" s="37"/>
      <c r="H4" s="39"/>
    </row>
    <row r="5" spans="1:10" ht="13.5" customHeight="1">
      <c r="A5" s="262"/>
      <c r="B5" s="12" t="s">
        <v>40</v>
      </c>
      <c r="C5" s="14"/>
      <c r="D5" s="14">
        <v>-646648.29</v>
      </c>
      <c r="E5" s="14">
        <v>324984</v>
      </c>
      <c r="F5" s="14">
        <v>97209</v>
      </c>
      <c r="G5" s="14">
        <v>114078</v>
      </c>
      <c r="H5" s="288">
        <v>110556</v>
      </c>
    </row>
    <row r="6" spans="1:10" ht="13.5" customHeight="1">
      <c r="A6" s="262"/>
      <c r="B6" s="12" t="s">
        <v>214</v>
      </c>
      <c r="C6" s="30"/>
      <c r="D6" s="30">
        <v>-972027.37</v>
      </c>
      <c r="E6" s="30">
        <v>-874285</v>
      </c>
      <c r="F6" s="30">
        <v>0</v>
      </c>
      <c r="G6" s="30">
        <v>0</v>
      </c>
      <c r="H6" s="17">
        <v>-2041365</v>
      </c>
    </row>
    <row r="7" spans="1:10" ht="13.5" customHeight="1">
      <c r="A7" s="262"/>
      <c r="B7" s="12" t="s">
        <v>41</v>
      </c>
      <c r="C7" s="30"/>
      <c r="D7" s="30"/>
      <c r="E7" s="30">
        <v>0</v>
      </c>
      <c r="F7" s="30">
        <v>11500</v>
      </c>
      <c r="G7" s="30">
        <v>0</v>
      </c>
      <c r="H7" s="17">
        <v>100804</v>
      </c>
    </row>
    <row r="8" spans="1:10" ht="13.5" customHeight="1">
      <c r="A8" s="262"/>
      <c r="B8" s="12" t="s">
        <v>42</v>
      </c>
      <c r="C8" s="31"/>
      <c r="D8" s="31">
        <v>1250123.23</v>
      </c>
      <c r="E8" s="17">
        <v>3007721</v>
      </c>
      <c r="F8" s="16">
        <v>0</v>
      </c>
      <c r="G8" s="16">
        <v>1244189</v>
      </c>
      <c r="H8" s="17">
        <v>435538</v>
      </c>
    </row>
    <row r="9" spans="1:10" ht="13.5" customHeight="1">
      <c r="A9" s="262"/>
      <c r="B9" s="12" t="s">
        <v>226</v>
      </c>
      <c r="C9" s="97">
        <v>0</v>
      </c>
      <c r="D9" s="97">
        <v>-45386.669999999984</v>
      </c>
      <c r="E9" s="74">
        <v>-3</v>
      </c>
      <c r="F9" s="75">
        <v>0</v>
      </c>
      <c r="G9" s="18">
        <v>-52955</v>
      </c>
      <c r="H9" s="19">
        <v>-94333.91</v>
      </c>
      <c r="J9" s="20">
        <f>SUM(C9:E9)</f>
        <v>-45389.669999999984</v>
      </c>
    </row>
    <row r="10" spans="1:10" s="22" customFormat="1" ht="13.5" customHeight="1" thickBot="1">
      <c r="A10" s="263"/>
      <c r="B10" s="98" t="s">
        <v>43</v>
      </c>
      <c r="C10" s="67">
        <f t="shared" ref="C10:H10" si="0">SUM(C5:C9)</f>
        <v>0</v>
      </c>
      <c r="D10" s="67">
        <f t="shared" si="0"/>
        <v>-413939.10000000015</v>
      </c>
      <c r="E10" s="67">
        <f t="shared" si="0"/>
        <v>2458417</v>
      </c>
      <c r="F10" s="67">
        <f t="shared" si="0"/>
        <v>108709</v>
      </c>
      <c r="G10" s="67">
        <f t="shared" si="0"/>
        <v>1305312</v>
      </c>
      <c r="H10" s="67">
        <f t="shared" si="0"/>
        <v>-1488800.91</v>
      </c>
      <c r="J10" s="20">
        <f>SUM(C10:E10)</f>
        <v>2044477.9</v>
      </c>
    </row>
    <row r="11" spans="1:10" s="22" customFormat="1" ht="13.5" customHeight="1">
      <c r="A11" s="241" t="s">
        <v>44</v>
      </c>
      <c r="B11" s="36"/>
      <c r="C11" s="42"/>
      <c r="D11" s="42"/>
      <c r="E11" s="42"/>
      <c r="F11" s="42"/>
      <c r="G11" s="42"/>
      <c r="H11" s="42"/>
    </row>
    <row r="12" spans="1:10" s="22" customFormat="1" ht="13.5" customHeight="1">
      <c r="A12" s="264"/>
      <c r="B12" s="23" t="s">
        <v>45</v>
      </c>
      <c r="C12" s="24"/>
      <c r="D12" s="24">
        <v>30552</v>
      </c>
      <c r="E12" s="24">
        <v>30552</v>
      </c>
      <c r="F12" s="24">
        <v>34422</v>
      </c>
      <c r="G12" s="24">
        <v>30552</v>
      </c>
      <c r="H12" s="24">
        <v>30852</v>
      </c>
      <c r="J12" s="20">
        <f>SUM(C12:E12)</f>
        <v>61104</v>
      </c>
    </row>
    <row r="13" spans="1:10" s="22" customFormat="1" ht="13.5" customHeight="1">
      <c r="A13" s="264"/>
      <c r="B13" s="23" t="s">
        <v>46</v>
      </c>
      <c r="C13" s="24"/>
      <c r="D13" s="24">
        <v>0</v>
      </c>
      <c r="E13" s="24">
        <v>254187</v>
      </c>
      <c r="F13" s="24">
        <v>0</v>
      </c>
      <c r="G13" s="24">
        <v>36450</v>
      </c>
      <c r="H13" s="24">
        <v>0</v>
      </c>
      <c r="J13" s="20">
        <f>SUM(C13:E13)</f>
        <v>254187</v>
      </c>
    </row>
    <row r="14" spans="1:10" s="22" customFormat="1" ht="13.5" customHeight="1" thickBot="1">
      <c r="A14" s="265"/>
      <c r="B14" s="32" t="s">
        <v>47</v>
      </c>
      <c r="C14" s="33"/>
      <c r="D14" s="33">
        <v>1935</v>
      </c>
      <c r="E14" s="33">
        <v>0</v>
      </c>
      <c r="F14" s="33">
        <v>556708</v>
      </c>
      <c r="G14" s="33">
        <v>1935</v>
      </c>
      <c r="H14" s="33">
        <v>1935</v>
      </c>
      <c r="J14" s="20">
        <f>SUM(C14:E14)</f>
        <v>1935</v>
      </c>
    </row>
    <row r="15" spans="1:10" ht="13.5" customHeight="1">
      <c r="A15" s="266" t="s">
        <v>48</v>
      </c>
      <c r="B15" s="25"/>
      <c r="C15" s="27"/>
      <c r="D15" s="27"/>
      <c r="E15" s="27"/>
      <c r="F15" s="26"/>
      <c r="G15" s="26"/>
      <c r="H15" s="28"/>
    </row>
    <row r="16" spans="1:10" ht="13.5" customHeight="1">
      <c r="A16" s="267"/>
      <c r="B16" s="29" t="s">
        <v>49</v>
      </c>
      <c r="C16" s="30"/>
      <c r="D16" s="30">
        <v>1094663.6499999999</v>
      </c>
      <c r="E16" s="30">
        <v>322363</v>
      </c>
      <c r="F16" s="18">
        <v>1150584</v>
      </c>
      <c r="G16" s="18">
        <v>249392</v>
      </c>
      <c r="H16" s="19">
        <v>0</v>
      </c>
    </row>
    <row r="17" spans="1:12" ht="13.5" customHeight="1">
      <c r="A17" s="267"/>
      <c r="B17" s="29" t="s">
        <v>50</v>
      </c>
      <c r="C17" s="30"/>
      <c r="D17" s="30">
        <v>70395</v>
      </c>
      <c r="E17" s="30">
        <v>71325</v>
      </c>
      <c r="F17" s="18">
        <v>246845</v>
      </c>
      <c r="G17" s="18">
        <v>56950</v>
      </c>
      <c r="H17" s="19">
        <v>0</v>
      </c>
    </row>
    <row r="18" spans="1:12" ht="13.5" customHeight="1">
      <c r="A18" s="267"/>
      <c r="B18" s="29" t="s">
        <v>51</v>
      </c>
      <c r="C18" s="30"/>
      <c r="D18" s="30">
        <v>412974.99</v>
      </c>
      <c r="E18" s="30">
        <v>137084</v>
      </c>
      <c r="F18" s="18">
        <v>797148</v>
      </c>
      <c r="G18" s="18">
        <v>44666</v>
      </c>
      <c r="H18" s="19">
        <v>0</v>
      </c>
    </row>
    <row r="19" spans="1:12" ht="13.5" customHeight="1">
      <c r="A19" s="267"/>
      <c r="B19" s="29" t="s">
        <v>52</v>
      </c>
      <c r="C19" s="30"/>
      <c r="D19" s="30">
        <v>544256.32000000007</v>
      </c>
      <c r="E19" s="30">
        <v>134660</v>
      </c>
      <c r="F19" s="18">
        <v>483336</v>
      </c>
      <c r="G19" s="18">
        <v>139015</v>
      </c>
      <c r="H19" s="19">
        <v>0</v>
      </c>
    </row>
    <row r="20" spans="1:12" ht="13.5" customHeight="1">
      <c r="A20" s="267"/>
      <c r="B20" s="29" t="s">
        <v>53</v>
      </c>
      <c r="C20" s="30"/>
      <c r="D20" s="30">
        <v>92659</v>
      </c>
      <c r="E20" s="30">
        <v>33759</v>
      </c>
      <c r="F20" s="18">
        <v>26067</v>
      </c>
      <c r="G20" s="18">
        <v>12480</v>
      </c>
      <c r="H20" s="19">
        <v>19129.25</v>
      </c>
    </row>
    <row r="21" spans="1:12" ht="13.5" customHeight="1">
      <c r="A21" s="267"/>
      <c r="B21" s="29" t="s">
        <v>54</v>
      </c>
      <c r="C21" s="30"/>
      <c r="D21" s="30">
        <v>3355</v>
      </c>
      <c r="E21" s="30">
        <v>0</v>
      </c>
      <c r="F21" s="18">
        <v>0</v>
      </c>
      <c r="G21" s="18">
        <v>0</v>
      </c>
      <c r="H21" s="19">
        <v>0</v>
      </c>
    </row>
    <row r="22" spans="1:12" ht="13.5" customHeight="1">
      <c r="A22" s="267"/>
      <c r="B22" s="29" t="s">
        <v>55</v>
      </c>
      <c r="C22" s="31"/>
      <c r="D22" s="31">
        <v>0</v>
      </c>
      <c r="E22" s="31">
        <v>0</v>
      </c>
      <c r="F22" s="16">
        <v>0</v>
      </c>
      <c r="G22" s="16">
        <v>0</v>
      </c>
      <c r="H22" s="17">
        <v>0</v>
      </c>
    </row>
    <row r="23" spans="1:12" ht="13.5" customHeight="1">
      <c r="A23" s="267"/>
      <c r="B23" s="29" t="s">
        <v>56</v>
      </c>
      <c r="C23" s="30"/>
      <c r="D23" s="30">
        <v>0</v>
      </c>
      <c r="E23" s="30">
        <v>447916</v>
      </c>
      <c r="F23" s="18">
        <v>154</v>
      </c>
      <c r="G23" s="18">
        <v>1245354</v>
      </c>
      <c r="H23" s="19">
        <v>618451.53</v>
      </c>
    </row>
    <row r="24" spans="1:12" ht="13.5" customHeight="1">
      <c r="A24" s="267"/>
      <c r="B24" s="29" t="s">
        <v>57</v>
      </c>
      <c r="C24" s="30"/>
      <c r="D24" s="30">
        <v>204709.2</v>
      </c>
      <c r="E24" s="30">
        <v>11808</v>
      </c>
      <c r="F24" s="18">
        <v>0</v>
      </c>
      <c r="G24" s="18">
        <v>0</v>
      </c>
      <c r="H24" s="19">
        <v>0</v>
      </c>
    </row>
    <row r="25" spans="1:12" ht="13.5" customHeight="1">
      <c r="A25" s="267"/>
      <c r="B25" s="29" t="s">
        <v>58</v>
      </c>
      <c r="C25" s="30"/>
      <c r="D25" s="30">
        <v>0</v>
      </c>
      <c r="E25" s="30">
        <v>0</v>
      </c>
      <c r="F25" s="18">
        <v>0</v>
      </c>
      <c r="G25" s="18">
        <v>0</v>
      </c>
      <c r="H25" s="19">
        <v>0</v>
      </c>
    </row>
    <row r="26" spans="1:12" ht="13.5" customHeight="1">
      <c r="A26" s="267"/>
      <c r="B26" s="29" t="s">
        <v>59</v>
      </c>
      <c r="C26" s="30"/>
      <c r="D26" s="30">
        <v>0</v>
      </c>
      <c r="E26" s="30">
        <v>0</v>
      </c>
      <c r="F26" s="18">
        <v>0</v>
      </c>
      <c r="G26" s="18">
        <v>0</v>
      </c>
      <c r="H26" s="19">
        <v>0</v>
      </c>
    </row>
    <row r="27" spans="1:12" ht="13.5" customHeight="1">
      <c r="A27" s="267"/>
      <c r="B27" s="29" t="s">
        <v>60</v>
      </c>
      <c r="C27" s="30"/>
      <c r="D27" s="30">
        <v>579708</v>
      </c>
      <c r="E27" s="30">
        <v>140930</v>
      </c>
      <c r="F27" s="18">
        <v>586178</v>
      </c>
      <c r="G27" s="18">
        <v>463814</v>
      </c>
      <c r="H27" s="19">
        <v>10249.780000000001</v>
      </c>
    </row>
    <row r="28" spans="1:12" ht="13.5" customHeight="1">
      <c r="A28" s="267"/>
      <c r="B28" s="29" t="s">
        <v>148</v>
      </c>
      <c r="C28" s="30"/>
      <c r="D28" s="30">
        <v>0</v>
      </c>
      <c r="E28" s="30">
        <v>0</v>
      </c>
      <c r="F28" s="18">
        <v>0</v>
      </c>
      <c r="G28" s="18">
        <v>0</v>
      </c>
      <c r="H28" s="19">
        <v>25893.39</v>
      </c>
    </row>
    <row r="29" spans="1:12" ht="13.5" customHeight="1">
      <c r="A29" s="267"/>
      <c r="B29" s="29" t="s">
        <v>62</v>
      </c>
      <c r="C29" s="30"/>
      <c r="D29" s="30">
        <v>587843.36</v>
      </c>
      <c r="E29" s="30">
        <v>665274</v>
      </c>
      <c r="F29" s="18">
        <v>393311</v>
      </c>
      <c r="G29" s="18">
        <v>3806195</v>
      </c>
      <c r="H29" s="19">
        <v>1217404.1499999999</v>
      </c>
      <c r="J29" s="20">
        <f>SUM(C29:E29)</f>
        <v>1253117.3599999999</v>
      </c>
    </row>
    <row r="30" spans="1:12" ht="13.5" customHeight="1">
      <c r="A30" s="267"/>
      <c r="B30" s="29" t="s">
        <v>63</v>
      </c>
      <c r="C30" s="30"/>
      <c r="D30" s="30">
        <v>113387.69</v>
      </c>
      <c r="E30" s="30">
        <v>6467</v>
      </c>
      <c r="F30" s="18">
        <v>0</v>
      </c>
      <c r="G30" s="18">
        <v>0</v>
      </c>
      <c r="H30" s="19"/>
      <c r="J30" s="20">
        <f>SUM(C30:E30)</f>
        <v>119854.69</v>
      </c>
    </row>
    <row r="31" spans="1:12" ht="13.5" customHeight="1">
      <c r="A31" s="267"/>
      <c r="B31" s="29" t="s">
        <v>64</v>
      </c>
      <c r="C31" s="31"/>
      <c r="D31" s="31">
        <v>153338.54999999999</v>
      </c>
      <c r="E31" s="31">
        <v>29051</v>
      </c>
      <c r="F31" s="16">
        <v>10603</v>
      </c>
      <c r="G31" s="16">
        <v>2488273</v>
      </c>
      <c r="H31" s="17">
        <v>903800.26</v>
      </c>
      <c r="J31" s="20">
        <f>SUM(C31:E31)</f>
        <v>182389.55</v>
      </c>
      <c r="K31" s="20">
        <f>+J31+J30+J9</f>
        <v>256854.57</v>
      </c>
      <c r="L31" s="10" t="s">
        <v>65</v>
      </c>
    </row>
    <row r="32" spans="1:12" s="22" customFormat="1" ht="13.5" customHeight="1" thickBot="1">
      <c r="A32" s="263" t="s">
        <v>66</v>
      </c>
      <c r="B32" s="32"/>
      <c r="C32" s="33">
        <f t="shared" ref="C32:H32" si="1">SUM(C16:C31)</f>
        <v>0</v>
      </c>
      <c r="D32" s="33">
        <f t="shared" si="1"/>
        <v>3857290.76</v>
      </c>
      <c r="E32" s="33">
        <f t="shared" si="1"/>
        <v>2000637</v>
      </c>
      <c r="F32" s="33">
        <f t="shared" si="1"/>
        <v>3694226</v>
      </c>
      <c r="G32" s="33">
        <f t="shared" si="1"/>
        <v>8506139</v>
      </c>
      <c r="H32" s="33">
        <f t="shared" si="1"/>
        <v>2794928.3600000003</v>
      </c>
      <c r="I32" s="110">
        <f>AVERAGE(C32:H32)</f>
        <v>3475536.853333333</v>
      </c>
      <c r="J32" s="34">
        <f>SUM(C32:E32)+SUM(C12:E14)</f>
        <v>6175153.7599999998</v>
      </c>
    </row>
    <row r="33" spans="1:10" ht="13.5" customHeight="1">
      <c r="A33" s="266" t="s">
        <v>68</v>
      </c>
      <c r="B33" s="25"/>
      <c r="C33" s="27"/>
      <c r="D33" s="27"/>
      <c r="E33" s="27"/>
      <c r="F33" s="26"/>
      <c r="G33" s="26"/>
      <c r="H33" s="28"/>
    </row>
    <row r="34" spans="1:10" ht="13.5" customHeight="1">
      <c r="A34" s="267"/>
      <c r="B34" s="29" t="s">
        <v>69</v>
      </c>
      <c r="C34" s="19"/>
      <c r="D34" s="19">
        <v>536135.76</v>
      </c>
      <c r="E34" s="30">
        <v>516432</v>
      </c>
      <c r="F34" s="18">
        <v>1641368</v>
      </c>
      <c r="G34" s="18">
        <v>2242367</v>
      </c>
      <c r="H34" s="19">
        <v>472623.66</v>
      </c>
      <c r="J34" s="20">
        <f>SUM(C34:E34)</f>
        <v>1052567.76</v>
      </c>
    </row>
    <row r="35" spans="1:10" ht="13.5" customHeight="1">
      <c r="A35" s="267"/>
      <c r="B35" s="29" t="s">
        <v>70</v>
      </c>
      <c r="C35" s="19"/>
      <c r="D35" s="19">
        <v>566027.72</v>
      </c>
      <c r="E35" s="30">
        <v>463205</v>
      </c>
      <c r="F35" s="18">
        <v>935478</v>
      </c>
      <c r="G35" s="18">
        <v>4214048</v>
      </c>
      <c r="H35" s="19">
        <v>460708.08</v>
      </c>
      <c r="J35" s="20">
        <f>SUM(C35:E35)</f>
        <v>1029232.72</v>
      </c>
    </row>
    <row r="36" spans="1:10" ht="13.5" customHeight="1">
      <c r="A36" s="267"/>
      <c r="B36" s="29" t="s">
        <v>71</v>
      </c>
      <c r="C36" s="30"/>
      <c r="D36" s="30">
        <v>289109.99999999994</v>
      </c>
      <c r="E36" s="30">
        <v>131361</v>
      </c>
      <c r="F36" s="18">
        <v>0</v>
      </c>
      <c r="G36" s="18">
        <v>129772</v>
      </c>
      <c r="H36" s="19">
        <v>97802.65</v>
      </c>
    </row>
    <row r="37" spans="1:10" ht="13.5" customHeight="1">
      <c r="A37" s="267"/>
      <c r="B37" s="29" t="s">
        <v>72</v>
      </c>
      <c r="C37" s="30"/>
      <c r="D37" s="30">
        <v>426576.46</v>
      </c>
      <c r="E37" s="30">
        <v>164780</v>
      </c>
      <c r="F37" s="18">
        <v>390453</v>
      </c>
      <c r="G37" s="18">
        <v>135217</v>
      </c>
      <c r="H37" s="19">
        <v>51634.23</v>
      </c>
    </row>
    <row r="38" spans="1:10" ht="13.5" customHeight="1">
      <c r="A38" s="267"/>
      <c r="B38" s="29" t="s">
        <v>60</v>
      </c>
      <c r="C38" s="30"/>
      <c r="D38" s="30">
        <v>137802.23000000001</v>
      </c>
      <c r="E38" s="30">
        <v>136859</v>
      </c>
      <c r="F38" s="18">
        <v>286879</v>
      </c>
      <c r="G38" s="18">
        <v>43241</v>
      </c>
      <c r="H38" s="19">
        <v>3076.27</v>
      </c>
    </row>
    <row r="39" spans="1:10" ht="13.5" customHeight="1">
      <c r="A39" s="267"/>
      <c r="B39" s="29" t="s">
        <v>73</v>
      </c>
      <c r="C39" s="30"/>
      <c r="D39" s="30">
        <v>0</v>
      </c>
      <c r="E39" s="30">
        <v>40274</v>
      </c>
      <c r="F39" s="18">
        <v>13509</v>
      </c>
      <c r="G39" s="18">
        <v>0</v>
      </c>
      <c r="H39" s="19">
        <v>44276.47</v>
      </c>
    </row>
    <row r="40" spans="1:10" ht="13.5" customHeight="1">
      <c r="A40" s="267"/>
      <c r="B40" s="29" t="s">
        <v>74</v>
      </c>
      <c r="C40" s="30"/>
      <c r="D40" s="30">
        <v>110730.29000000001</v>
      </c>
      <c r="E40" s="30">
        <v>16944</v>
      </c>
      <c r="F40" s="18">
        <v>33821</v>
      </c>
      <c r="G40" s="18">
        <v>22041</v>
      </c>
      <c r="H40" s="19">
        <v>29538.83</v>
      </c>
    </row>
    <row r="41" spans="1:10" ht="13.5" customHeight="1">
      <c r="A41" s="267"/>
      <c r="B41" s="29" t="s">
        <v>53</v>
      </c>
      <c r="C41" s="30"/>
      <c r="D41" s="30">
        <v>241551.09</v>
      </c>
      <c r="E41" s="30">
        <v>141499</v>
      </c>
      <c r="F41" s="18">
        <v>70850</v>
      </c>
      <c r="G41" s="18">
        <v>92876</v>
      </c>
      <c r="H41" s="19">
        <v>74513.64</v>
      </c>
    </row>
    <row r="42" spans="1:10" ht="13.5" customHeight="1">
      <c r="A42" s="267"/>
      <c r="B42" s="29" t="s">
        <v>54</v>
      </c>
      <c r="C42" s="30"/>
      <c r="D42" s="30">
        <v>7459.0300000000007</v>
      </c>
      <c r="E42" s="30">
        <v>0</v>
      </c>
      <c r="F42" s="18">
        <v>0</v>
      </c>
      <c r="G42" s="18">
        <v>0</v>
      </c>
      <c r="H42" s="19">
        <v>481.74</v>
      </c>
    </row>
    <row r="43" spans="1:10" ht="13.5" customHeight="1">
      <c r="A43" s="267"/>
      <c r="B43" s="29" t="s">
        <v>55</v>
      </c>
      <c r="C43" s="30"/>
      <c r="D43" s="30">
        <v>0</v>
      </c>
      <c r="E43" s="30">
        <v>0</v>
      </c>
      <c r="F43" s="18">
        <v>0</v>
      </c>
      <c r="G43" s="18">
        <v>0</v>
      </c>
      <c r="H43" s="19">
        <v>0</v>
      </c>
    </row>
    <row r="44" spans="1:10" ht="13.5" customHeight="1">
      <c r="A44" s="267"/>
      <c r="B44" s="29" t="s">
        <v>56</v>
      </c>
      <c r="C44" s="30"/>
      <c r="D44" s="30">
        <v>9715.4599999999991</v>
      </c>
      <c r="E44" s="30">
        <v>268332</v>
      </c>
      <c r="F44" s="18">
        <v>0</v>
      </c>
      <c r="G44" s="18">
        <v>1097239</v>
      </c>
      <c r="H44" s="19">
        <v>331028.55</v>
      </c>
    </row>
    <row r="45" spans="1:10" ht="13.5" customHeight="1">
      <c r="A45" s="267"/>
      <c r="B45" s="29" t="s">
        <v>75</v>
      </c>
      <c r="C45" s="30"/>
      <c r="D45" s="30">
        <v>939487.27</v>
      </c>
      <c r="E45" s="30">
        <v>469467</v>
      </c>
      <c r="F45" s="18">
        <v>890089</v>
      </c>
      <c r="G45" s="18">
        <v>194855</v>
      </c>
      <c r="H45" s="19">
        <v>15621.32</v>
      </c>
    </row>
    <row r="46" spans="1:10" ht="13.5" customHeight="1">
      <c r="A46" s="267"/>
      <c r="B46" s="29" t="s">
        <v>58</v>
      </c>
      <c r="C46" s="30"/>
      <c r="D46" s="30">
        <v>0</v>
      </c>
      <c r="E46" s="30">
        <v>0</v>
      </c>
      <c r="F46" s="18">
        <v>0</v>
      </c>
      <c r="G46" s="18">
        <v>0</v>
      </c>
      <c r="H46" s="19">
        <v>0</v>
      </c>
    </row>
    <row r="47" spans="1:10" ht="13.5" customHeight="1">
      <c r="A47" s="267"/>
      <c r="B47" s="29" t="s">
        <v>76</v>
      </c>
      <c r="C47" s="30"/>
      <c r="D47" s="30">
        <v>0</v>
      </c>
      <c r="E47" s="30">
        <v>0</v>
      </c>
      <c r="F47" s="18">
        <v>0</v>
      </c>
      <c r="G47" s="18">
        <v>0</v>
      </c>
      <c r="H47" s="19">
        <v>0</v>
      </c>
    </row>
    <row r="48" spans="1:10" ht="13.5" customHeight="1">
      <c r="A48" s="267"/>
      <c r="B48" s="29" t="s">
        <v>77</v>
      </c>
      <c r="C48" s="30"/>
      <c r="D48" s="30">
        <v>10927.25</v>
      </c>
      <c r="E48" s="30">
        <v>3000</v>
      </c>
      <c r="F48" s="18">
        <v>0</v>
      </c>
      <c r="G48" s="18">
        <v>0</v>
      </c>
      <c r="H48" s="19">
        <v>7531.15</v>
      </c>
    </row>
    <row r="49" spans="1:10" ht="13.5" customHeight="1">
      <c r="A49" s="267"/>
      <c r="B49" s="29" t="s">
        <v>78</v>
      </c>
      <c r="C49" s="30"/>
      <c r="D49" s="30">
        <v>47093.7</v>
      </c>
      <c r="E49" s="30">
        <v>-537</v>
      </c>
      <c r="F49" s="18">
        <v>0</v>
      </c>
      <c r="G49" s="18">
        <v>0</v>
      </c>
      <c r="H49" s="19">
        <v>0</v>
      </c>
    </row>
    <row r="50" spans="1:10" ht="13.5" customHeight="1">
      <c r="A50" s="267"/>
      <c r="B50" s="29" t="s">
        <v>79</v>
      </c>
      <c r="C50" s="30"/>
      <c r="D50" s="30">
        <v>-1441.17</v>
      </c>
      <c r="E50" s="30">
        <v>616</v>
      </c>
      <c r="F50" s="18">
        <v>0</v>
      </c>
      <c r="G50" s="18">
        <v>0</v>
      </c>
      <c r="H50" s="19">
        <v>-22</v>
      </c>
    </row>
    <row r="51" spans="1:10" ht="13.5" customHeight="1">
      <c r="A51" s="267"/>
      <c r="B51" s="29" t="s">
        <v>80</v>
      </c>
      <c r="C51" s="30"/>
      <c r="D51" s="30">
        <v>196432.77</v>
      </c>
      <c r="E51" s="30">
        <v>0</v>
      </c>
      <c r="F51" s="18">
        <v>0</v>
      </c>
      <c r="G51" s="18">
        <v>0</v>
      </c>
      <c r="H51" s="19">
        <v>853164.28999999992</v>
      </c>
    </row>
    <row r="52" spans="1:10" s="22" customFormat="1" ht="13.5" customHeight="1" thickBot="1">
      <c r="A52" s="263" t="s">
        <v>81</v>
      </c>
      <c r="B52" s="32"/>
      <c r="C52" s="33">
        <f t="shared" ref="C52:H52" si="2">SUM(C34:C51)</f>
        <v>0</v>
      </c>
      <c r="D52" s="33">
        <f t="shared" si="2"/>
        <v>3517607.86</v>
      </c>
      <c r="E52" s="33">
        <f t="shared" si="2"/>
        <v>2352232</v>
      </c>
      <c r="F52" s="33">
        <f t="shared" si="2"/>
        <v>4262447</v>
      </c>
      <c r="G52" s="33">
        <f t="shared" si="2"/>
        <v>8171656</v>
      </c>
      <c r="H52" s="33">
        <f t="shared" si="2"/>
        <v>2441978.8799999999</v>
      </c>
      <c r="I52" s="110">
        <f>AVERAGE(C52:H52)</f>
        <v>3457653.6233333331</v>
      </c>
      <c r="J52" s="34">
        <f>+SUM(C52:E52)+SUM(C54:E54)</f>
        <v>6316078.0199999996</v>
      </c>
    </row>
    <row r="53" spans="1:10" ht="13.5" customHeight="1">
      <c r="A53" s="274" t="s">
        <v>82</v>
      </c>
      <c r="B53" s="76"/>
      <c r="C53" s="77"/>
      <c r="D53" s="77"/>
      <c r="E53" s="77"/>
      <c r="F53" s="78"/>
      <c r="G53" s="78"/>
      <c r="H53" s="79"/>
      <c r="I53" s="85"/>
    </row>
    <row r="54" spans="1:10" s="22" customFormat="1" ht="13.5" customHeight="1">
      <c r="A54" s="264"/>
      <c r="B54" s="23" t="s">
        <v>83</v>
      </c>
      <c r="C54" s="24"/>
      <c r="D54" s="24">
        <v>89841.16</v>
      </c>
      <c r="E54" s="24">
        <v>356397</v>
      </c>
      <c r="F54" s="24">
        <v>0</v>
      </c>
      <c r="G54" s="24">
        <v>245576</v>
      </c>
      <c r="H54" s="24">
        <v>213207</v>
      </c>
      <c r="I54" s="115"/>
      <c r="J54" s="20">
        <f>SUM(C54:E54)</f>
        <v>446238.16000000003</v>
      </c>
    </row>
    <row r="55" spans="1:10" s="22" customFormat="1" ht="13.5" customHeight="1">
      <c r="A55" s="268"/>
      <c r="B55" s="36" t="s">
        <v>201</v>
      </c>
      <c r="C55" s="42"/>
      <c r="D55" s="42">
        <v>-140020.26999999999</v>
      </c>
      <c r="E55" s="42">
        <v>-294664</v>
      </c>
      <c r="F55" s="42">
        <v>0</v>
      </c>
      <c r="G55" s="42">
        <v>0</v>
      </c>
      <c r="H55" s="42">
        <v>177321</v>
      </c>
      <c r="I55" s="115"/>
      <c r="J55" s="20">
        <f>SUM(C55:E55)</f>
        <v>-434684.27</v>
      </c>
    </row>
    <row r="56" spans="1:10" s="22" customFormat="1" ht="13.5" customHeight="1">
      <c r="A56" s="268"/>
      <c r="B56" s="36" t="s">
        <v>229</v>
      </c>
      <c r="C56" s="42"/>
      <c r="D56" s="42"/>
      <c r="E56" s="42"/>
      <c r="F56" s="42"/>
      <c r="G56" s="42"/>
      <c r="H56" s="42"/>
      <c r="I56" s="115"/>
      <c r="J56" s="20">
        <f>SUM(C56:E56)</f>
        <v>0</v>
      </c>
    </row>
    <row r="57" spans="1:10" s="22" customFormat="1" ht="13.5" customHeight="1">
      <c r="A57" s="241" t="s">
        <v>230</v>
      </c>
      <c r="B57" s="36"/>
      <c r="C57" s="24">
        <f>+C32-C52</f>
        <v>0</v>
      </c>
      <c r="D57" s="24">
        <f t="shared" ref="D57:H57" si="3">+D32-D52</f>
        <v>339682.89999999991</v>
      </c>
      <c r="E57" s="24">
        <f t="shared" si="3"/>
        <v>-351595</v>
      </c>
      <c r="F57" s="24">
        <f t="shared" si="3"/>
        <v>-568221</v>
      </c>
      <c r="G57" s="24">
        <f t="shared" si="3"/>
        <v>334483</v>
      </c>
      <c r="H57" s="24">
        <f t="shared" si="3"/>
        <v>352949.48000000045</v>
      </c>
      <c r="I57" s="110">
        <f t="shared" ref="I57:I62" si="4">AVERAGE(C57:H57)</f>
        <v>17883.230000000058</v>
      </c>
    </row>
    <row r="58" spans="1:10" s="22" customFormat="1" ht="13.5" customHeight="1">
      <c r="A58" s="241" t="s">
        <v>239</v>
      </c>
      <c r="B58" s="36"/>
      <c r="C58" s="24">
        <f>+C32-C52-C54</f>
        <v>0</v>
      </c>
      <c r="D58" s="24">
        <f t="shared" ref="D58:H58" si="5">+D32-D52-D54</f>
        <v>249841.7399999999</v>
      </c>
      <c r="E58" s="24">
        <f t="shared" si="5"/>
        <v>-707992</v>
      </c>
      <c r="F58" s="24">
        <f t="shared" si="5"/>
        <v>-568221</v>
      </c>
      <c r="G58" s="24">
        <f t="shared" si="5"/>
        <v>88907</v>
      </c>
      <c r="H58" s="24">
        <f t="shared" si="5"/>
        <v>139742.48000000045</v>
      </c>
      <c r="I58" s="110">
        <f t="shared" si="4"/>
        <v>-132953.62999999995</v>
      </c>
    </row>
    <row r="59" spans="1:10" s="22" customFormat="1" ht="13.5" customHeight="1">
      <c r="A59" s="241" t="s">
        <v>231</v>
      </c>
      <c r="B59" s="36"/>
      <c r="C59" s="24">
        <f>+C32-C52-SUM(C54:C56)</f>
        <v>0</v>
      </c>
      <c r="D59" s="24">
        <f t="shared" ref="D59:H59" si="6">+D32-D52-SUM(D54:D56)</f>
        <v>389862.00999999989</v>
      </c>
      <c r="E59" s="24">
        <f t="shared" si="6"/>
        <v>-413328</v>
      </c>
      <c r="F59" s="24">
        <f t="shared" si="6"/>
        <v>-568221</v>
      </c>
      <c r="G59" s="24">
        <f t="shared" si="6"/>
        <v>88907</v>
      </c>
      <c r="H59" s="24">
        <f t="shared" si="6"/>
        <v>-37578.519999999553</v>
      </c>
      <c r="I59" s="110">
        <f t="shared" si="4"/>
        <v>-90059.751666666605</v>
      </c>
    </row>
    <row r="60" spans="1:10" s="22" customFormat="1" ht="13.5" customHeight="1">
      <c r="A60" s="241" t="s">
        <v>232</v>
      </c>
      <c r="B60" s="36"/>
      <c r="C60" s="24">
        <f>+C32+SUM(C12:C14)-C52</f>
        <v>0</v>
      </c>
      <c r="D60" s="24">
        <f t="shared" ref="D60:H60" si="7">+D32+SUM(D12:D14)-D52</f>
        <v>372169.89999999991</v>
      </c>
      <c r="E60" s="24">
        <f t="shared" si="7"/>
        <v>-66856</v>
      </c>
      <c r="F60" s="24">
        <f t="shared" si="7"/>
        <v>22909</v>
      </c>
      <c r="G60" s="24">
        <f t="shared" si="7"/>
        <v>403420</v>
      </c>
      <c r="H60" s="24">
        <f t="shared" si="7"/>
        <v>385736.48000000045</v>
      </c>
      <c r="I60" s="110">
        <f t="shared" si="4"/>
        <v>186229.89666666673</v>
      </c>
    </row>
    <row r="61" spans="1:10" s="22" customFormat="1" ht="13.5" customHeight="1">
      <c r="A61" s="241" t="s">
        <v>240</v>
      </c>
      <c r="B61" s="36"/>
      <c r="C61" s="24">
        <f>+C32+SUM(C12:C14)-C52-C54</f>
        <v>0</v>
      </c>
      <c r="D61" s="24">
        <f t="shared" ref="D61:H61" si="8">+D32+SUM(D12:D14)-D52-D54</f>
        <v>282328.73999999987</v>
      </c>
      <c r="E61" s="24">
        <f t="shared" si="8"/>
        <v>-423253</v>
      </c>
      <c r="F61" s="24">
        <f t="shared" si="8"/>
        <v>22909</v>
      </c>
      <c r="G61" s="24">
        <f t="shared" si="8"/>
        <v>157844</v>
      </c>
      <c r="H61" s="24">
        <f t="shared" si="8"/>
        <v>172529.48000000045</v>
      </c>
      <c r="I61" s="110">
        <f t="shared" si="4"/>
        <v>35393.036666666718</v>
      </c>
    </row>
    <row r="62" spans="1:10" s="22" customFormat="1" ht="13.5" customHeight="1">
      <c r="A62" s="241" t="s">
        <v>233</v>
      </c>
      <c r="B62" s="36"/>
      <c r="C62" s="24">
        <f>+C32+SUM(C12:C14)-C52-SUM(C54:C56)</f>
        <v>0</v>
      </c>
      <c r="D62" s="24">
        <f t="shared" ref="D62:H62" si="9">+D32+SUM(D12:D14)-D52-SUM(D54:D56)</f>
        <v>422349.00999999989</v>
      </c>
      <c r="E62" s="24">
        <f t="shared" si="9"/>
        <v>-128589</v>
      </c>
      <c r="F62" s="24">
        <f t="shared" si="9"/>
        <v>22909</v>
      </c>
      <c r="G62" s="24">
        <f t="shared" si="9"/>
        <v>157844</v>
      </c>
      <c r="H62" s="24">
        <f t="shared" si="9"/>
        <v>-4791.519999999553</v>
      </c>
      <c r="I62" s="110">
        <f t="shared" si="4"/>
        <v>78286.915000000052</v>
      </c>
      <c r="J62" s="34">
        <f>SUM(C62:E62)</f>
        <v>293760.00999999989</v>
      </c>
    </row>
    <row r="63" spans="1:10" ht="13.5" customHeight="1">
      <c r="A63" s="262" t="s">
        <v>228</v>
      </c>
      <c r="B63" s="12"/>
      <c r="C63" s="38"/>
      <c r="D63" s="38"/>
      <c r="E63" s="38"/>
      <c r="F63" s="37"/>
      <c r="G63" s="37"/>
      <c r="H63" s="38"/>
    </row>
    <row r="64" spans="1:10" ht="13.5" customHeight="1">
      <c r="A64" s="266"/>
      <c r="B64" s="25" t="s">
        <v>40</v>
      </c>
      <c r="C64" s="31"/>
      <c r="D64" s="31">
        <v>-450341.16</v>
      </c>
      <c r="E64" s="17">
        <v>-161892</v>
      </c>
      <c r="F64" s="16">
        <v>120119</v>
      </c>
      <c r="G64" s="16">
        <v>293758</v>
      </c>
      <c r="H64" s="17">
        <v>-475760.2099999988</v>
      </c>
      <c r="I64" s="85">
        <f>SUM(C64:H64)/6</f>
        <v>-112352.72833333311</v>
      </c>
    </row>
    <row r="65" spans="1:9" ht="13.5" customHeight="1">
      <c r="A65" s="266"/>
      <c r="B65" s="25" t="s">
        <v>234</v>
      </c>
      <c r="C65" s="31"/>
      <c r="D65" s="31">
        <v>-722916.44</v>
      </c>
      <c r="E65" s="17">
        <v>-502107</v>
      </c>
      <c r="F65" s="16">
        <v>0</v>
      </c>
      <c r="G65" s="16">
        <v>0</v>
      </c>
      <c r="H65" s="17">
        <v>-1439392</v>
      </c>
      <c r="I65" s="85"/>
    </row>
    <row r="66" spans="1:9" ht="13.5" customHeight="1">
      <c r="A66" s="266"/>
      <c r="B66" s="25" t="s">
        <v>41</v>
      </c>
      <c r="C66" s="31"/>
      <c r="D66" s="31">
        <v>0</v>
      </c>
      <c r="E66" s="17">
        <v>0</v>
      </c>
      <c r="F66" s="16">
        <v>11500</v>
      </c>
      <c r="G66" s="16">
        <v>0</v>
      </c>
      <c r="H66" s="17">
        <v>100804.23</v>
      </c>
      <c r="I66" s="20"/>
    </row>
    <row r="67" spans="1:9" s="40" customFormat="1" ht="13.5" customHeight="1">
      <c r="A67" s="266"/>
      <c r="B67" s="25" t="s">
        <v>42</v>
      </c>
      <c r="C67" s="31"/>
      <c r="D67" s="31">
        <v>1181667.83</v>
      </c>
      <c r="E67" s="17">
        <v>2993826</v>
      </c>
      <c r="F67" s="16">
        <v>0</v>
      </c>
      <c r="G67" s="16">
        <v>1169399</v>
      </c>
      <c r="H67" s="17">
        <v>320755.55</v>
      </c>
      <c r="I67" s="100">
        <f>MAX(C64:H64)</f>
        <v>293758</v>
      </c>
    </row>
    <row r="68" spans="1:9" s="22" customFormat="1" ht="13.5" customHeight="1">
      <c r="A68" s="241"/>
      <c r="B68" s="41" t="s">
        <v>43</v>
      </c>
      <c r="C68" s="57">
        <f t="shared" ref="C68:H68" si="10">SUM(C64:C67)</f>
        <v>0</v>
      </c>
      <c r="D68" s="57">
        <f t="shared" si="10"/>
        <v>8410.2300000002142</v>
      </c>
      <c r="E68" s="57">
        <f t="shared" si="10"/>
        <v>2329827</v>
      </c>
      <c r="F68" s="57">
        <f t="shared" si="10"/>
        <v>131619</v>
      </c>
      <c r="G68" s="57">
        <f t="shared" si="10"/>
        <v>1463157</v>
      </c>
      <c r="H68" s="57">
        <f t="shared" si="10"/>
        <v>-1493592.4299999988</v>
      </c>
      <c r="I68" s="34">
        <f>MIN(C64:H64)</f>
        <v>-475760.2099999988</v>
      </c>
    </row>
    <row r="69" spans="1:9" s="101" customFormat="1" ht="13.5" customHeight="1">
      <c r="A69" s="276" t="s">
        <v>84</v>
      </c>
      <c r="B69" s="276"/>
      <c r="C69" s="280" t="e">
        <f t="shared" ref="C69:H69" si="11">C64/(C52)</f>
        <v>#DIV/0!</v>
      </c>
      <c r="D69" s="280">
        <f t="shared" si="11"/>
        <v>-0.12802483333091028</v>
      </c>
      <c r="E69" s="280">
        <f t="shared" si="11"/>
        <v>-6.8824843807923711E-2</v>
      </c>
      <c r="F69" s="280">
        <f t="shared" si="11"/>
        <v>2.8180760957262341E-2</v>
      </c>
      <c r="G69" s="280">
        <f t="shared" si="11"/>
        <v>3.594840507236232E-2</v>
      </c>
      <c r="H69" s="280">
        <f t="shared" si="11"/>
        <v>-0.19482568579790455</v>
      </c>
      <c r="I69" s="116" t="e">
        <f>AVERAGE(C69:H69)</f>
        <v>#DIV/0!</v>
      </c>
    </row>
    <row r="70" spans="1:9" s="85" customFormat="1">
      <c r="A70" s="83"/>
      <c r="B70" s="83" t="s">
        <v>85</v>
      </c>
      <c r="C70" s="69">
        <f t="shared" ref="C70:G70" si="12">+C10+C12+C13+C14+C32-C52-C54-C68-C55-C56</f>
        <v>0</v>
      </c>
      <c r="D70" s="69">
        <f t="shared" si="12"/>
        <v>-0.32000000041443855</v>
      </c>
      <c r="E70" s="69">
        <f t="shared" si="12"/>
        <v>1</v>
      </c>
      <c r="F70" s="83">
        <f t="shared" si="12"/>
        <v>-1</v>
      </c>
      <c r="G70" s="83">
        <f t="shared" si="12"/>
        <v>-1</v>
      </c>
      <c r="H70" s="83">
        <f>+H10+H12+H13+H14+H32-H52-H54-H68-H55-H56</f>
        <v>-6.9849193096160889E-10</v>
      </c>
      <c r="I70" s="117" t="e">
        <f>MAX(C69:H69)</f>
        <v>#DIV/0!</v>
      </c>
    </row>
    <row r="71" spans="1:9">
      <c r="A71" s="51"/>
      <c r="B71" s="51"/>
      <c r="C71" s="69">
        <f t="shared" ref="C71:H71" si="13">+C10+C62-C68</f>
        <v>0</v>
      </c>
      <c r="D71" s="69">
        <f t="shared" si="13"/>
        <v>-0.32000000047264621</v>
      </c>
      <c r="E71" s="69">
        <f t="shared" si="13"/>
        <v>1</v>
      </c>
      <c r="F71" s="83">
        <f t="shared" si="13"/>
        <v>-1</v>
      </c>
      <c r="G71" s="83">
        <f t="shared" si="13"/>
        <v>-1</v>
      </c>
      <c r="H71" s="83">
        <f t="shared" si="13"/>
        <v>0</v>
      </c>
      <c r="I71" s="118" t="e">
        <f>MIN(C69:H69)</f>
        <v>#DIV/0!</v>
      </c>
    </row>
    <row r="72" spans="1:9">
      <c r="A72" s="51"/>
      <c r="B72" s="51"/>
      <c r="C72" s="69"/>
      <c r="D72" s="69"/>
      <c r="E72" s="69"/>
      <c r="F72" s="83"/>
      <c r="G72" s="83"/>
      <c r="H72" s="83"/>
      <c r="I72" s="118"/>
    </row>
    <row r="73" spans="1:9" ht="12.75" customHeight="1">
      <c r="A73" s="180" t="s">
        <v>195</v>
      </c>
      <c r="B73" s="52"/>
      <c r="C73" s="52"/>
      <c r="D73" s="52"/>
      <c r="E73" s="69"/>
      <c r="F73" s="83"/>
      <c r="G73" s="83"/>
      <c r="H73" s="83"/>
      <c r="I73" s="118"/>
    </row>
    <row r="74" spans="1:9" ht="12.75" customHeight="1">
      <c r="A74" s="177" t="s">
        <v>196</v>
      </c>
      <c r="B74" s="52"/>
      <c r="C74" s="52"/>
      <c r="D74" s="52"/>
      <c r="E74" s="48"/>
    </row>
    <row r="75" spans="1:9" ht="12.75" customHeight="1">
      <c r="A75" s="178" t="s">
        <v>86</v>
      </c>
      <c r="B75" s="52"/>
      <c r="C75" s="52"/>
      <c r="D75" s="52"/>
      <c r="E75" s="48"/>
    </row>
    <row r="76" spans="1:9">
      <c r="A76" s="179"/>
      <c r="B76" s="52"/>
      <c r="C76" s="52"/>
      <c r="D76" s="52"/>
      <c r="E76" s="48"/>
    </row>
    <row r="77" spans="1:9" ht="12.75" customHeight="1">
      <c r="A77" s="177" t="s">
        <v>197</v>
      </c>
      <c r="B77" s="52"/>
      <c r="C77" s="52"/>
      <c r="D77" s="52"/>
      <c r="E77" s="48"/>
    </row>
    <row r="78" spans="1:9" ht="12.75" customHeight="1">
      <c r="A78" s="177" t="s">
        <v>87</v>
      </c>
      <c r="B78" s="52"/>
      <c r="C78" s="52"/>
      <c r="D78" s="52"/>
      <c r="E78" s="48"/>
    </row>
    <row r="79" spans="1:9" ht="12.75" customHeight="1">
      <c r="A79" s="177" t="s">
        <v>88</v>
      </c>
      <c r="B79" s="144"/>
      <c r="C79" s="145"/>
      <c r="D79" s="145"/>
      <c r="E79" s="48"/>
    </row>
    <row r="80" spans="1:9" ht="16.5" customHeight="1">
      <c r="A80" s="137"/>
      <c r="B80" s="137"/>
      <c r="C80" s="137"/>
      <c r="D80" s="137"/>
    </row>
    <row r="81" spans="1:10">
      <c r="A81" s="343"/>
      <c r="B81" s="344"/>
      <c r="C81" s="260"/>
      <c r="D81" s="260"/>
      <c r="E81" s="260"/>
      <c r="F81" s="260"/>
      <c r="G81" s="260"/>
      <c r="H81" s="260"/>
    </row>
    <row r="82" spans="1:10" ht="79.5" customHeight="1">
      <c r="A82" s="345"/>
      <c r="B82" s="346"/>
      <c r="C82" s="297" t="str">
        <f t="shared" ref="C82:H82" si="14">C2</f>
        <v>2nd DAA,         San Joaquin County Fair</v>
      </c>
      <c r="D82" s="256" t="str">
        <f t="shared" si="14"/>
        <v>38th DAA, Stanislaus County Fair</v>
      </c>
      <c r="E82" s="256" t="str">
        <f t="shared" si="14"/>
        <v>46th DAA, Southern California Fair</v>
      </c>
      <c r="F82" s="256" t="str">
        <f t="shared" si="14"/>
        <v>Riverside County Fair &amp; National Date Festival
FY 17/18</v>
      </c>
      <c r="G82" s="256" t="str">
        <f t="shared" si="14"/>
        <v>Santa Clara County Fair</v>
      </c>
      <c r="H82" s="256" t="str">
        <f t="shared" si="14"/>
        <v>Solano County Fair</v>
      </c>
    </row>
    <row r="83" spans="1:10" ht="13.5" customHeight="1">
      <c r="A83" s="262" t="s">
        <v>89</v>
      </c>
      <c r="B83" s="29"/>
      <c r="C83" s="54"/>
      <c r="D83" s="54"/>
      <c r="E83" s="54"/>
      <c r="F83" s="53"/>
      <c r="G83" s="53"/>
      <c r="H83" s="55"/>
    </row>
    <row r="84" spans="1:10" ht="13.5" customHeight="1">
      <c r="A84" s="262" t="s">
        <v>90</v>
      </c>
      <c r="B84" s="29"/>
      <c r="C84" s="54"/>
      <c r="D84" s="54"/>
      <c r="E84" s="54"/>
      <c r="F84" s="53"/>
      <c r="G84" s="53"/>
      <c r="H84" s="55"/>
    </row>
    <row r="85" spans="1:10" ht="13.5" customHeight="1">
      <c r="A85" s="267"/>
      <c r="B85" s="29" t="s">
        <v>91</v>
      </c>
      <c r="C85" s="30"/>
      <c r="D85" s="30"/>
      <c r="E85" s="30"/>
      <c r="F85" s="18"/>
      <c r="G85" s="18"/>
      <c r="H85" s="19"/>
    </row>
    <row r="86" spans="1:10" ht="13.5" customHeight="1">
      <c r="A86" s="267"/>
      <c r="B86" s="29" t="s">
        <v>92</v>
      </c>
      <c r="C86" s="14"/>
      <c r="D86" s="14">
        <v>153718.79</v>
      </c>
      <c r="E86" s="14">
        <v>0</v>
      </c>
      <c r="F86" s="13">
        <v>11500</v>
      </c>
      <c r="G86" s="13">
        <v>0</v>
      </c>
      <c r="H86" s="15">
        <v>0</v>
      </c>
      <c r="J86" s="56">
        <f>SUM(C86:E86)</f>
        <v>153718.79</v>
      </c>
    </row>
    <row r="87" spans="1:10" ht="13.5" customHeight="1">
      <c r="A87" s="267"/>
      <c r="B87" s="29" t="s">
        <v>93</v>
      </c>
      <c r="C87" s="30"/>
      <c r="D87" s="30">
        <v>122713.51</v>
      </c>
      <c r="E87" s="30">
        <v>129692</v>
      </c>
      <c r="F87" s="18">
        <v>151116</v>
      </c>
      <c r="G87" s="18">
        <v>776915</v>
      </c>
      <c r="H87" s="19">
        <v>439766</v>
      </c>
      <c r="J87" s="56">
        <f t="shared" ref="J87:J95" si="15">SUM(C87:E87)</f>
        <v>252405.51</v>
      </c>
    </row>
    <row r="88" spans="1:10" ht="13.5" customHeight="1">
      <c r="A88" s="267"/>
      <c r="B88" s="29" t="s">
        <v>94</v>
      </c>
      <c r="C88" s="30"/>
      <c r="D88" s="30">
        <v>91389.4</v>
      </c>
      <c r="E88" s="30">
        <f>399831+15521</f>
        <v>415352</v>
      </c>
      <c r="F88" s="18">
        <v>45651</v>
      </c>
      <c r="G88" s="18">
        <v>392357</v>
      </c>
      <c r="H88" s="19">
        <v>117774</v>
      </c>
      <c r="J88" s="56">
        <f t="shared" si="15"/>
        <v>506741.4</v>
      </c>
    </row>
    <row r="89" spans="1:10" ht="13.5" customHeight="1">
      <c r="A89" s="267"/>
      <c r="B89" s="29" t="s">
        <v>95</v>
      </c>
      <c r="C89" s="30"/>
      <c r="D89" s="30">
        <v>0</v>
      </c>
      <c r="E89" s="30">
        <v>8876</v>
      </c>
      <c r="F89" s="18">
        <v>0</v>
      </c>
      <c r="G89" s="18">
        <v>409484</v>
      </c>
      <c r="H89" s="19">
        <v>0</v>
      </c>
      <c r="J89" s="56">
        <f t="shared" si="15"/>
        <v>8876</v>
      </c>
    </row>
    <row r="90" spans="1:10" ht="13.5" customHeight="1">
      <c r="A90" s="267"/>
      <c r="B90" s="29" t="s">
        <v>96</v>
      </c>
      <c r="C90" s="30"/>
      <c r="D90" s="30">
        <v>0</v>
      </c>
      <c r="E90" s="30">
        <v>0</v>
      </c>
      <c r="F90" s="18">
        <v>-889</v>
      </c>
      <c r="G90" s="18">
        <v>0</v>
      </c>
      <c r="H90" s="19">
        <v>0</v>
      </c>
      <c r="J90" s="56">
        <f t="shared" si="15"/>
        <v>0</v>
      </c>
    </row>
    <row r="91" spans="1:10" ht="13.5" customHeight="1">
      <c r="A91" s="267"/>
      <c r="B91" s="29" t="s">
        <v>97</v>
      </c>
      <c r="C91" s="30"/>
      <c r="D91" s="30">
        <v>5449.86</v>
      </c>
      <c r="E91" s="30">
        <v>0</v>
      </c>
      <c r="F91" s="18">
        <v>0</v>
      </c>
      <c r="G91" s="18">
        <v>0</v>
      </c>
      <c r="H91" s="19">
        <v>0</v>
      </c>
      <c r="J91" s="56">
        <f t="shared" si="15"/>
        <v>5449.86</v>
      </c>
    </row>
    <row r="92" spans="1:10" ht="13.5" customHeight="1">
      <c r="A92" s="267"/>
      <c r="B92" s="29" t="s">
        <v>98</v>
      </c>
      <c r="C92" s="30"/>
      <c r="D92" s="30">
        <v>72594.05</v>
      </c>
      <c r="E92" s="30">
        <v>450358</v>
      </c>
      <c r="F92" s="18">
        <v>0</v>
      </c>
      <c r="G92" s="18">
        <v>0</v>
      </c>
      <c r="H92" s="19">
        <v>167085</v>
      </c>
      <c r="J92" s="56">
        <f t="shared" si="15"/>
        <v>522952.05</v>
      </c>
    </row>
    <row r="93" spans="1:10" ht="13.5" customHeight="1">
      <c r="A93" s="267"/>
      <c r="B93" s="29" t="s">
        <v>99</v>
      </c>
      <c r="C93" s="30"/>
      <c r="D93" s="30">
        <v>4119436.08</v>
      </c>
      <c r="E93" s="30">
        <v>12297293</v>
      </c>
      <c r="F93" s="18">
        <v>0</v>
      </c>
      <c r="G93" s="18">
        <v>1993298</v>
      </c>
      <c r="H93" s="19">
        <v>9792687</v>
      </c>
      <c r="J93" s="56">
        <f t="shared" si="15"/>
        <v>16416729.08</v>
      </c>
    </row>
    <row r="94" spans="1:10" ht="13.5" customHeight="1">
      <c r="A94" s="267"/>
      <c r="B94" s="29" t="s">
        <v>100</v>
      </c>
      <c r="C94" s="30"/>
      <c r="D94" s="30">
        <v>434584.01</v>
      </c>
      <c r="E94" s="30">
        <v>283615</v>
      </c>
      <c r="F94" s="18">
        <v>0</v>
      </c>
      <c r="G94" s="18">
        <v>1397386</v>
      </c>
      <c r="H94" s="19">
        <v>395047</v>
      </c>
      <c r="J94" s="56">
        <f t="shared" si="15"/>
        <v>718199.01</v>
      </c>
    </row>
    <row r="95" spans="1:10" ht="13.5" customHeight="1">
      <c r="A95" s="267"/>
      <c r="B95" s="29" t="s">
        <v>101</v>
      </c>
      <c r="C95" s="30"/>
      <c r="D95" s="30">
        <v>0</v>
      </c>
      <c r="E95" s="30">
        <v>0</v>
      </c>
      <c r="F95" s="18">
        <v>0</v>
      </c>
      <c r="G95" s="18">
        <v>0</v>
      </c>
      <c r="H95" s="19">
        <v>0</v>
      </c>
      <c r="J95" s="56">
        <f t="shared" si="15"/>
        <v>0</v>
      </c>
    </row>
    <row r="96" spans="1:10" ht="13.5" customHeight="1">
      <c r="A96" s="267"/>
      <c r="B96" s="29" t="s">
        <v>182</v>
      </c>
      <c r="C96" s="30"/>
      <c r="D96" s="30">
        <v>0</v>
      </c>
      <c r="E96" s="30">
        <v>0</v>
      </c>
      <c r="F96" s="18">
        <v>0</v>
      </c>
      <c r="G96" s="18">
        <v>0</v>
      </c>
      <c r="H96" s="19">
        <v>6000</v>
      </c>
      <c r="J96" s="56">
        <f>SUM(C96:H96)</f>
        <v>6000</v>
      </c>
    </row>
    <row r="97" spans="1:10" ht="13.5" customHeight="1">
      <c r="A97" s="267"/>
      <c r="B97" s="29" t="s">
        <v>102</v>
      </c>
      <c r="C97" s="30"/>
      <c r="D97" s="30">
        <f>-3028021.21-391463.15</f>
        <v>-3419484.36</v>
      </c>
      <c r="E97" s="30">
        <f>-9438720-281539</f>
        <v>-9720259</v>
      </c>
      <c r="F97" s="18">
        <v>0</v>
      </c>
      <c r="G97" s="18">
        <f>-1038432-1046771</f>
        <v>-2085203</v>
      </c>
      <c r="H97" s="19">
        <f>-9352413-388044.13-796</f>
        <v>-9741253.1300000008</v>
      </c>
      <c r="J97" s="20">
        <f>SUM(C92:E97)</f>
        <v>4518136.7800000012</v>
      </c>
    </row>
    <row r="98" spans="1:10" ht="13.5" customHeight="1">
      <c r="A98" s="267"/>
      <c r="B98" s="29" t="s">
        <v>103</v>
      </c>
      <c r="C98" s="30"/>
      <c r="D98" s="30">
        <v>0</v>
      </c>
      <c r="E98" s="30">
        <v>0</v>
      </c>
      <c r="F98" s="18">
        <v>0</v>
      </c>
      <c r="G98" s="18">
        <v>0</v>
      </c>
      <c r="H98" s="19">
        <v>0</v>
      </c>
    </row>
    <row r="99" spans="1:10" ht="13.5" customHeight="1">
      <c r="A99" s="250" t="s">
        <v>104</v>
      </c>
      <c r="B99" s="23"/>
      <c r="C99" s="24">
        <f>SUM(C85:C98)</f>
        <v>0</v>
      </c>
      <c r="D99" s="24">
        <f t="shared" ref="D99:H99" si="16">SUM(D85:D98)</f>
        <v>1580401.3400000003</v>
      </c>
      <c r="E99" s="24">
        <f t="shared" si="16"/>
        <v>3864927</v>
      </c>
      <c r="F99" s="24">
        <f t="shared" si="16"/>
        <v>207378</v>
      </c>
      <c r="G99" s="24">
        <f t="shared" si="16"/>
        <v>2884237</v>
      </c>
      <c r="H99" s="24">
        <f t="shared" si="16"/>
        <v>1177105.8699999992</v>
      </c>
      <c r="J99" s="56">
        <f t="shared" ref="J99:J100" si="17">SUM(C99:E99)</f>
        <v>5445328.3399999999</v>
      </c>
    </row>
    <row r="100" spans="1:10" ht="13.5" customHeight="1">
      <c r="A100" s="250" t="s">
        <v>205</v>
      </c>
      <c r="B100" s="23"/>
      <c r="C100" s="24"/>
      <c r="D100" s="24">
        <v>307873.15000000002</v>
      </c>
      <c r="E100" s="24">
        <v>214064</v>
      </c>
      <c r="F100" s="24">
        <v>0</v>
      </c>
      <c r="G100" s="24">
        <v>0</v>
      </c>
      <c r="H100" s="24">
        <v>443081</v>
      </c>
      <c r="J100" s="56">
        <f t="shared" si="17"/>
        <v>521937.15</v>
      </c>
    </row>
    <row r="101" spans="1:10" s="45" customFormat="1" ht="13.5" customHeight="1">
      <c r="A101" s="272" t="s">
        <v>202</v>
      </c>
      <c r="B101" s="195"/>
      <c r="C101" s="196">
        <f>+C99+C100</f>
        <v>0</v>
      </c>
      <c r="D101" s="196">
        <f t="shared" ref="D101:H101" si="18">+D99+D100</f>
        <v>1888274.4900000002</v>
      </c>
      <c r="E101" s="196">
        <f t="shared" si="18"/>
        <v>4078991</v>
      </c>
      <c r="F101" s="196">
        <f t="shared" si="18"/>
        <v>207378</v>
      </c>
      <c r="G101" s="196">
        <f t="shared" si="18"/>
        <v>2884237</v>
      </c>
      <c r="H101" s="196">
        <f t="shared" si="18"/>
        <v>1620186.8699999992</v>
      </c>
      <c r="J101" s="197">
        <f>SUM(C101:E101)</f>
        <v>5967265.4900000002</v>
      </c>
    </row>
    <row r="102" spans="1:10" ht="13.5" customHeight="1">
      <c r="A102" s="262" t="s">
        <v>203</v>
      </c>
      <c r="B102" s="29"/>
      <c r="C102" s="53"/>
      <c r="D102" s="53"/>
      <c r="E102" s="54"/>
      <c r="F102" s="53"/>
      <c r="G102" s="53"/>
      <c r="H102" s="55"/>
    </row>
    <row r="103" spans="1:10" ht="13.5" customHeight="1">
      <c r="A103" s="267"/>
      <c r="B103" s="29" t="s">
        <v>105</v>
      </c>
      <c r="C103" s="18"/>
      <c r="D103" s="18">
        <v>0</v>
      </c>
      <c r="E103" s="30">
        <v>462</v>
      </c>
      <c r="F103" s="18">
        <v>0</v>
      </c>
      <c r="G103" s="18">
        <v>2225</v>
      </c>
      <c r="H103" s="19">
        <v>0</v>
      </c>
      <c r="J103" s="56">
        <f t="shared" ref="J103:J116" si="19">SUM(C103:E103)</f>
        <v>462</v>
      </c>
    </row>
    <row r="104" spans="1:10" ht="13.5" customHeight="1">
      <c r="A104" s="267"/>
      <c r="B104" s="29" t="s">
        <v>106</v>
      </c>
      <c r="C104" s="18"/>
      <c r="D104" s="18">
        <v>171107.46000000002</v>
      </c>
      <c r="E104" s="30">
        <f>614784+121</f>
        <v>614905</v>
      </c>
      <c r="F104" s="18">
        <v>19013</v>
      </c>
      <c r="G104" s="18">
        <v>302598</v>
      </c>
      <c r="H104" s="19">
        <v>59413</v>
      </c>
      <c r="J104" s="56">
        <f t="shared" si="19"/>
        <v>786012.46</v>
      </c>
    </row>
    <row r="105" spans="1:10" ht="13.5" customHeight="1">
      <c r="A105" s="267"/>
      <c r="B105" s="29" t="s">
        <v>107</v>
      </c>
      <c r="C105" s="18"/>
      <c r="D105" s="18">
        <v>48867.53</v>
      </c>
      <c r="E105" s="30">
        <v>4278</v>
      </c>
      <c r="F105" s="18">
        <v>46386</v>
      </c>
      <c r="G105" s="18">
        <v>131846</v>
      </c>
      <c r="H105" s="19">
        <v>50239</v>
      </c>
      <c r="J105" s="56">
        <f t="shared" si="19"/>
        <v>53145.53</v>
      </c>
    </row>
    <row r="106" spans="1:10" ht="13.5" customHeight="1">
      <c r="A106" s="267"/>
      <c r="B106" s="29" t="s">
        <v>108</v>
      </c>
      <c r="C106" s="18"/>
      <c r="D106" s="18">
        <v>115000</v>
      </c>
      <c r="E106" s="30">
        <v>19245</v>
      </c>
      <c r="F106" s="18">
        <v>3300</v>
      </c>
      <c r="G106" s="18">
        <v>354071</v>
      </c>
      <c r="H106" s="19">
        <v>2371</v>
      </c>
      <c r="J106" s="56">
        <f t="shared" si="19"/>
        <v>134245</v>
      </c>
    </row>
    <row r="107" spans="1:10" ht="13.5" customHeight="1">
      <c r="A107" s="267"/>
      <c r="B107" s="29" t="s">
        <v>109</v>
      </c>
      <c r="C107" s="18"/>
      <c r="D107" s="18">
        <v>99179.27</v>
      </c>
      <c r="E107" s="30">
        <v>3041</v>
      </c>
      <c r="F107" s="18">
        <v>7061</v>
      </c>
      <c r="G107" s="18">
        <v>0</v>
      </c>
      <c r="H107" s="19">
        <v>0</v>
      </c>
      <c r="J107" s="56">
        <f t="shared" si="19"/>
        <v>102220.27</v>
      </c>
    </row>
    <row r="108" spans="1:10" ht="13.5" customHeight="1">
      <c r="A108" s="267"/>
      <c r="B108" s="29" t="s">
        <v>110</v>
      </c>
      <c r="C108" s="18"/>
      <c r="D108" s="18">
        <v>30820</v>
      </c>
      <c r="E108" s="30">
        <v>5000</v>
      </c>
      <c r="F108" s="18">
        <v>0</v>
      </c>
      <c r="G108" s="18">
        <v>0</v>
      </c>
      <c r="H108" s="19">
        <v>20970</v>
      </c>
      <c r="J108" s="56">
        <f t="shared" si="19"/>
        <v>35820</v>
      </c>
    </row>
    <row r="109" spans="1:10" ht="13.5" customHeight="1">
      <c r="A109" s="267"/>
      <c r="B109" s="29" t="s">
        <v>111</v>
      </c>
      <c r="C109" s="18"/>
      <c r="D109" s="18">
        <v>50787.6</v>
      </c>
      <c r="E109" s="30">
        <v>24284</v>
      </c>
      <c r="F109" s="18">
        <v>0</v>
      </c>
      <c r="G109" s="18">
        <v>246202</v>
      </c>
      <c r="H109" s="19">
        <v>54560</v>
      </c>
      <c r="J109" s="56">
        <f t="shared" si="19"/>
        <v>75071.600000000006</v>
      </c>
    </row>
    <row r="110" spans="1:10" ht="13.5" customHeight="1">
      <c r="A110" s="267"/>
      <c r="B110" s="29" t="s">
        <v>112</v>
      </c>
      <c r="C110" s="18"/>
      <c r="D110" s="18">
        <v>30911.809999999998</v>
      </c>
      <c r="E110" s="30">
        <v>317181</v>
      </c>
      <c r="F110" s="18">
        <v>0</v>
      </c>
      <c r="G110" s="18">
        <v>384138</v>
      </c>
      <c r="H110" s="19">
        <v>1028560</v>
      </c>
      <c r="J110" s="56">
        <f t="shared" si="19"/>
        <v>348092.81</v>
      </c>
    </row>
    <row r="111" spans="1:10" ht="13.5" customHeight="1">
      <c r="A111" s="267"/>
      <c r="B111" s="29" t="s">
        <v>208</v>
      </c>
      <c r="C111" s="30"/>
      <c r="D111" s="30">
        <v>1021258.59</v>
      </c>
      <c r="E111" s="30">
        <v>709549</v>
      </c>
      <c r="F111" s="18">
        <v>0</v>
      </c>
      <c r="G111" s="18">
        <v>0</v>
      </c>
      <c r="H111" s="19">
        <v>1543319</v>
      </c>
      <c r="J111" s="56">
        <f t="shared" si="19"/>
        <v>1730807.5899999999</v>
      </c>
    </row>
    <row r="112" spans="1:10" ht="13.5" customHeight="1">
      <c r="A112" s="267"/>
      <c r="B112" s="29" t="s">
        <v>238</v>
      </c>
      <c r="C112" s="30">
        <v>0</v>
      </c>
      <c r="D112" s="30">
        <v>0</v>
      </c>
      <c r="E112" s="30">
        <v>0</v>
      </c>
      <c r="F112" s="18">
        <v>0</v>
      </c>
      <c r="G112" s="18">
        <v>0</v>
      </c>
      <c r="H112" s="19">
        <v>151451</v>
      </c>
      <c r="J112" s="56">
        <f t="shared" si="19"/>
        <v>0</v>
      </c>
    </row>
    <row r="113" spans="1:10" ht="13.5" customHeight="1">
      <c r="A113" s="250" t="s">
        <v>207</v>
      </c>
      <c r="B113" s="23"/>
      <c r="C113" s="24">
        <f>SUM(C103:C112)</f>
        <v>0</v>
      </c>
      <c r="D113" s="24">
        <f t="shared" ref="D113:H113" si="20">SUM(D103:D112)</f>
        <v>1567932.2599999998</v>
      </c>
      <c r="E113" s="24">
        <f t="shared" si="20"/>
        <v>1697945</v>
      </c>
      <c r="F113" s="24">
        <f t="shared" si="20"/>
        <v>75760</v>
      </c>
      <c r="G113" s="24">
        <f t="shared" si="20"/>
        <v>1421080</v>
      </c>
      <c r="H113" s="24">
        <f t="shared" si="20"/>
        <v>2910883</v>
      </c>
      <c r="J113" s="56">
        <f t="shared" si="19"/>
        <v>3265877.26</v>
      </c>
    </row>
    <row r="114" spans="1:10" ht="13.5" customHeight="1">
      <c r="A114" s="250" t="s">
        <v>206</v>
      </c>
      <c r="B114" s="23"/>
      <c r="C114" s="24"/>
      <c r="D114" s="24">
        <v>9531</v>
      </c>
      <c r="E114" s="24">
        <v>6622</v>
      </c>
      <c r="F114" s="24">
        <v>0</v>
      </c>
      <c r="G114" s="24">
        <v>0</v>
      </c>
      <c r="H114" s="24">
        <v>187703</v>
      </c>
      <c r="J114" s="56">
        <f t="shared" si="19"/>
        <v>16153</v>
      </c>
    </row>
    <row r="115" spans="1:10" s="45" customFormat="1" ht="13.5" customHeight="1">
      <c r="A115" s="272" t="s">
        <v>204</v>
      </c>
      <c r="B115" s="195"/>
      <c r="C115" s="196">
        <f>+C113+C114</f>
        <v>0</v>
      </c>
      <c r="D115" s="196">
        <f t="shared" ref="D115:H115" si="21">+D113+D114</f>
        <v>1577463.2599999998</v>
      </c>
      <c r="E115" s="196">
        <f t="shared" si="21"/>
        <v>1704567</v>
      </c>
      <c r="F115" s="196">
        <f t="shared" si="21"/>
        <v>75760</v>
      </c>
      <c r="G115" s="196">
        <f t="shared" si="21"/>
        <v>1421080</v>
      </c>
      <c r="H115" s="196">
        <f t="shared" si="21"/>
        <v>3098586</v>
      </c>
      <c r="J115" s="197">
        <f t="shared" si="19"/>
        <v>3282030.26</v>
      </c>
    </row>
    <row r="116" spans="1:10" ht="13.5" customHeight="1">
      <c r="A116" s="262" t="s">
        <v>113</v>
      </c>
      <c r="B116" s="29"/>
      <c r="C116" s="53"/>
      <c r="D116" s="53"/>
      <c r="E116" s="54"/>
      <c r="F116" s="53"/>
      <c r="G116" s="53"/>
      <c r="H116" s="55" t="s">
        <v>174</v>
      </c>
      <c r="J116" s="56">
        <f t="shared" si="19"/>
        <v>0</v>
      </c>
    </row>
    <row r="117" spans="1:10" ht="13.5" customHeight="1">
      <c r="A117" s="267"/>
      <c r="B117" s="29" t="s">
        <v>114</v>
      </c>
      <c r="C117" s="18"/>
      <c r="D117" s="18">
        <v>302401</v>
      </c>
      <c r="E117" s="30">
        <v>44598</v>
      </c>
      <c r="F117" s="18"/>
      <c r="G117" s="18">
        <v>0</v>
      </c>
      <c r="H117" s="19">
        <v>15194</v>
      </c>
      <c r="J117" s="56">
        <f>SUM(C117:E117)</f>
        <v>346999</v>
      </c>
    </row>
    <row r="118" spans="1:10" ht="13.5" customHeight="1">
      <c r="A118" s="267"/>
      <c r="B118" s="29" t="s">
        <v>40</v>
      </c>
      <c r="C118" s="18">
        <f>C64</f>
        <v>0</v>
      </c>
      <c r="D118" s="18">
        <f t="shared" ref="D118:H118" si="22">D64</f>
        <v>-450341.16</v>
      </c>
      <c r="E118" s="18">
        <f t="shared" si="22"/>
        <v>-161892</v>
      </c>
      <c r="F118" s="18">
        <f t="shared" si="22"/>
        <v>120119</v>
      </c>
      <c r="G118" s="18">
        <f t="shared" si="22"/>
        <v>293758</v>
      </c>
      <c r="H118" s="18">
        <f t="shared" si="22"/>
        <v>-475760.2099999988</v>
      </c>
      <c r="J118" s="56">
        <f t="shared" ref="J118:J124" si="23">SUM(C118:E118)</f>
        <v>-612233.15999999992</v>
      </c>
    </row>
    <row r="119" spans="1:10" ht="13.5" customHeight="1">
      <c r="A119" s="267"/>
      <c r="B119" s="29" t="s">
        <v>234</v>
      </c>
      <c r="C119" s="18">
        <f>C65</f>
        <v>0</v>
      </c>
      <c r="D119" s="18">
        <f t="shared" ref="D119:H121" si="24">D65</f>
        <v>-722916.44</v>
      </c>
      <c r="E119" s="18">
        <f t="shared" si="24"/>
        <v>-502107</v>
      </c>
      <c r="F119" s="18">
        <f t="shared" si="24"/>
        <v>0</v>
      </c>
      <c r="G119" s="18">
        <f t="shared" si="24"/>
        <v>0</v>
      </c>
      <c r="H119" s="18">
        <f t="shared" si="24"/>
        <v>-1439392</v>
      </c>
      <c r="J119" s="56">
        <f t="shared" si="23"/>
        <v>-1225023.44</v>
      </c>
    </row>
    <row r="120" spans="1:10" ht="13.5" customHeight="1">
      <c r="A120" s="267"/>
      <c r="B120" s="29" t="s">
        <v>41</v>
      </c>
      <c r="C120" s="18">
        <f>C66</f>
        <v>0</v>
      </c>
      <c r="D120" s="18">
        <f t="shared" si="24"/>
        <v>0</v>
      </c>
      <c r="E120" s="18">
        <f t="shared" si="24"/>
        <v>0</v>
      </c>
      <c r="F120" s="18">
        <f t="shared" si="24"/>
        <v>11500</v>
      </c>
      <c r="G120" s="18">
        <f t="shared" si="24"/>
        <v>0</v>
      </c>
      <c r="H120" s="18">
        <f t="shared" si="24"/>
        <v>100804.23</v>
      </c>
      <c r="J120" s="56">
        <f t="shared" si="23"/>
        <v>0</v>
      </c>
    </row>
    <row r="121" spans="1:10" ht="13.5" customHeight="1">
      <c r="A121" s="267"/>
      <c r="B121" s="29" t="s">
        <v>115</v>
      </c>
      <c r="C121" s="18">
        <f>C67</f>
        <v>0</v>
      </c>
      <c r="D121" s="18">
        <f t="shared" si="24"/>
        <v>1181667.83</v>
      </c>
      <c r="E121" s="18">
        <f t="shared" si="24"/>
        <v>2993826</v>
      </c>
      <c r="F121" s="18">
        <f t="shared" si="24"/>
        <v>0</v>
      </c>
      <c r="G121" s="18">
        <f t="shared" si="24"/>
        <v>1169399</v>
      </c>
      <c r="H121" s="18">
        <f t="shared" si="24"/>
        <v>320755.55</v>
      </c>
      <c r="J121" s="56">
        <f t="shared" si="23"/>
        <v>4175493.83</v>
      </c>
    </row>
    <row r="122" spans="1:10" ht="13.5" customHeight="1">
      <c r="A122" s="273"/>
      <c r="B122" s="60" t="s">
        <v>103</v>
      </c>
      <c r="C122" s="61">
        <v>0</v>
      </c>
      <c r="D122" s="61">
        <v>0</v>
      </c>
      <c r="E122" s="62">
        <v>0</v>
      </c>
      <c r="F122" s="61">
        <v>0</v>
      </c>
      <c r="G122" s="61">
        <v>0</v>
      </c>
      <c r="H122" s="63">
        <v>0</v>
      </c>
      <c r="J122" s="56">
        <f t="shared" si="23"/>
        <v>0</v>
      </c>
    </row>
    <row r="123" spans="1:10" s="22" customFormat="1" ht="13.5" customHeight="1">
      <c r="A123" s="250" t="s">
        <v>43</v>
      </c>
      <c r="B123" s="64"/>
      <c r="C123" s="65">
        <f t="shared" ref="C123" si="25">SUM(C117:C122)</f>
        <v>0</v>
      </c>
      <c r="D123" s="65">
        <f t="shared" ref="D123:H123" si="26">SUM(D117:D122)</f>
        <v>310811.23000000021</v>
      </c>
      <c r="E123" s="65">
        <f t="shared" si="26"/>
        <v>2374425</v>
      </c>
      <c r="F123" s="65">
        <f t="shared" si="26"/>
        <v>131619</v>
      </c>
      <c r="G123" s="65">
        <f t="shared" si="26"/>
        <v>1463157</v>
      </c>
      <c r="H123" s="65">
        <f t="shared" si="26"/>
        <v>-1478398.4299999988</v>
      </c>
      <c r="J123" s="56">
        <f t="shared" si="23"/>
        <v>2685236.2300000004</v>
      </c>
    </row>
    <row r="124" spans="1:10" s="45" customFormat="1">
      <c r="A124" s="272" t="s">
        <v>209</v>
      </c>
      <c r="B124" s="195"/>
      <c r="C124" s="196">
        <f t="shared" ref="C124" si="27">SUM(C115:C122)</f>
        <v>0</v>
      </c>
      <c r="D124" s="196">
        <f t="shared" ref="D124:H124" si="28">SUM(D115:D122)</f>
        <v>1888274.49</v>
      </c>
      <c r="E124" s="196">
        <f t="shared" si="28"/>
        <v>4078992</v>
      </c>
      <c r="F124" s="196">
        <f t="shared" si="28"/>
        <v>207379</v>
      </c>
      <c r="G124" s="196">
        <f t="shared" si="28"/>
        <v>2884237</v>
      </c>
      <c r="H124" s="196">
        <f t="shared" si="28"/>
        <v>1620187.570000001</v>
      </c>
      <c r="J124" s="197">
        <f t="shared" si="23"/>
        <v>5967266.4900000002</v>
      </c>
    </row>
    <row r="125" spans="1:10">
      <c r="A125" s="68"/>
      <c r="B125" s="59" t="s">
        <v>85</v>
      </c>
      <c r="C125" s="102">
        <f t="shared" ref="C125:G125" si="29">+C101-C124</f>
        <v>0</v>
      </c>
      <c r="D125" s="102">
        <f t="shared" si="29"/>
        <v>0</v>
      </c>
      <c r="E125" s="102">
        <f t="shared" si="29"/>
        <v>-1</v>
      </c>
      <c r="F125" s="102">
        <f t="shared" si="29"/>
        <v>-1</v>
      </c>
      <c r="G125" s="102">
        <f t="shared" si="29"/>
        <v>0</v>
      </c>
      <c r="H125" s="216">
        <f>+H101-H124</f>
        <v>-0.70000000181607902</v>
      </c>
    </row>
    <row r="126" spans="1:10">
      <c r="A126" s="59"/>
      <c r="B126" s="90"/>
      <c r="C126" s="91"/>
      <c r="D126" s="91"/>
      <c r="E126" s="91"/>
      <c r="F126" s="91"/>
      <c r="G126" s="91"/>
      <c r="H126" s="91"/>
    </row>
    <row r="127" spans="1:10" ht="39.75" customHeight="1">
      <c r="A127" s="333" t="s">
        <v>116</v>
      </c>
      <c r="B127" s="334"/>
      <c r="C127" s="338" t="e">
        <f t="shared" ref="C127:H127" si="30">C57/(C32)</f>
        <v>#DIV/0!</v>
      </c>
      <c r="D127" s="338">
        <f t="shared" si="30"/>
        <v>8.8062560261855896E-2</v>
      </c>
      <c r="E127" s="338">
        <f t="shared" si="30"/>
        <v>-0.17574152632386586</v>
      </c>
      <c r="F127" s="338">
        <f t="shared" si="30"/>
        <v>-0.15381327509470183</v>
      </c>
      <c r="G127" s="338">
        <f t="shared" si="30"/>
        <v>3.9322541049470271E-2</v>
      </c>
      <c r="H127" s="338">
        <f t="shared" si="30"/>
        <v>0.12628212051918225</v>
      </c>
    </row>
    <row r="128" spans="1:10" ht="24">
      <c r="A128" s="241"/>
      <c r="B128" s="242" t="s">
        <v>117</v>
      </c>
      <c r="C128" s="338"/>
      <c r="D128" s="338"/>
      <c r="E128" s="338"/>
      <c r="F128" s="338"/>
      <c r="G128" s="338"/>
      <c r="H128" s="338"/>
    </row>
    <row r="129" spans="1:9" ht="14.25">
      <c r="A129" s="243" t="s">
        <v>190</v>
      </c>
      <c r="B129" s="244"/>
      <c r="C129" s="339" t="e">
        <f t="shared" ref="C129:H129" si="31">(SUM(C87:C88))/SUM(C103:C108)</f>
        <v>#DIV/0!</v>
      </c>
      <c r="D129" s="339">
        <f t="shared" si="31"/>
        <v>0.46046185438307913</v>
      </c>
      <c r="E129" s="339">
        <f t="shared" si="31"/>
        <v>0.842507160732752</v>
      </c>
      <c r="F129" s="339">
        <f t="shared" si="31"/>
        <v>2.597241288278775</v>
      </c>
      <c r="G129" s="339">
        <f t="shared" si="31"/>
        <v>1.4787060222070465</v>
      </c>
      <c r="H129" s="339">
        <f t="shared" si="31"/>
        <v>4.192250719962705</v>
      </c>
    </row>
    <row r="130" spans="1:9" ht="36">
      <c r="A130" s="245"/>
      <c r="B130" s="246" t="s">
        <v>191</v>
      </c>
      <c r="C130" s="340"/>
      <c r="D130" s="340"/>
      <c r="E130" s="340"/>
      <c r="F130" s="340"/>
      <c r="G130" s="340"/>
      <c r="H130" s="340"/>
    </row>
    <row r="131" spans="1:9" ht="14.25">
      <c r="A131" s="243" t="s">
        <v>192</v>
      </c>
      <c r="B131" s="244"/>
      <c r="C131" s="339" t="e">
        <f t="shared" ref="C131:H131" si="32">(SUM(C87:C88))/SUM(C103:C109)</f>
        <v>#DIV/0!</v>
      </c>
      <c r="D131" s="339">
        <f t="shared" si="32"/>
        <v>0.41511970272481952</v>
      </c>
      <c r="E131" s="339">
        <f t="shared" si="32"/>
        <v>0.81202595293609348</v>
      </c>
      <c r="F131" s="339">
        <f t="shared" si="32"/>
        <v>2.597241288278775</v>
      </c>
      <c r="G131" s="339">
        <f t="shared" si="32"/>
        <v>1.1276156236317942</v>
      </c>
      <c r="H131" s="339">
        <f t="shared" si="32"/>
        <v>2.9727063816627832</v>
      </c>
    </row>
    <row r="132" spans="1:9" ht="24">
      <c r="A132" s="245"/>
      <c r="B132" s="246" t="s">
        <v>193</v>
      </c>
      <c r="C132" s="340"/>
      <c r="D132" s="340"/>
      <c r="E132" s="340"/>
      <c r="F132" s="340"/>
      <c r="G132" s="340"/>
      <c r="H132" s="340"/>
    </row>
    <row r="133" spans="1:9" s="151" customFormat="1" ht="8.1" customHeight="1">
      <c r="A133" s="152"/>
      <c r="B133" s="153"/>
      <c r="C133" s="154"/>
      <c r="D133" s="154"/>
      <c r="E133" s="154"/>
      <c r="F133" s="154"/>
      <c r="G133" s="154"/>
      <c r="H133" s="155"/>
    </row>
    <row r="134" spans="1:9">
      <c r="A134" s="248" t="s">
        <v>118</v>
      </c>
      <c r="B134" s="64"/>
      <c r="C134" s="337" t="e">
        <f t="shared" ref="C134:H134" si="33">C115/C101</f>
        <v>#DIV/0!</v>
      </c>
      <c r="D134" s="337">
        <f t="shared" si="33"/>
        <v>0.83539933857815318</v>
      </c>
      <c r="E134" s="337">
        <f t="shared" si="33"/>
        <v>0.41788937509300705</v>
      </c>
      <c r="F134" s="337">
        <f t="shared" si="33"/>
        <v>0.3653232261859985</v>
      </c>
      <c r="G134" s="337">
        <f t="shared" si="33"/>
        <v>0.49270569651523088</v>
      </c>
      <c r="H134" s="337">
        <f t="shared" si="33"/>
        <v>1.9124867985135576</v>
      </c>
    </row>
    <row r="135" spans="1:9" ht="25.5">
      <c r="A135" s="241"/>
      <c r="B135" s="247" t="s">
        <v>119</v>
      </c>
      <c r="C135" s="337"/>
      <c r="D135" s="337"/>
      <c r="E135" s="337"/>
      <c r="F135" s="337"/>
      <c r="G135" s="337"/>
      <c r="H135" s="337"/>
    </row>
    <row r="136" spans="1:9">
      <c r="A136" s="248" t="s">
        <v>120</v>
      </c>
      <c r="B136" s="249"/>
      <c r="C136" s="337" t="e">
        <f t="shared" ref="C136:H136" si="34">C123/C101</f>
        <v>#DIV/0!</v>
      </c>
      <c r="D136" s="337">
        <f t="shared" si="34"/>
        <v>0.16460066142184665</v>
      </c>
      <c r="E136" s="337">
        <f t="shared" si="34"/>
        <v>0.58211087006566087</v>
      </c>
      <c r="F136" s="337">
        <f t="shared" si="34"/>
        <v>0.6346815959262796</v>
      </c>
      <c r="G136" s="337">
        <f t="shared" si="34"/>
        <v>0.50729430348476912</v>
      </c>
      <c r="H136" s="337">
        <f t="shared" si="34"/>
        <v>-0.91248636646462855</v>
      </c>
    </row>
    <row r="137" spans="1:9" ht="24">
      <c r="A137" s="241"/>
      <c r="B137" s="242" t="s">
        <v>121</v>
      </c>
      <c r="C137" s="337"/>
      <c r="D137" s="337"/>
      <c r="E137" s="337"/>
      <c r="F137" s="337"/>
      <c r="G137" s="337"/>
      <c r="H137" s="337"/>
    </row>
    <row r="138" spans="1:9">
      <c r="A138" s="335" t="s">
        <v>122</v>
      </c>
      <c r="B138" s="336"/>
      <c r="C138" s="337" t="e">
        <f t="shared" ref="C138:H138" si="35">C115/C123</f>
        <v>#DIV/0!</v>
      </c>
      <c r="D138" s="337">
        <f t="shared" si="35"/>
        <v>5.0753097306040029</v>
      </c>
      <c r="E138" s="337">
        <f t="shared" si="35"/>
        <v>0.71788622508607347</v>
      </c>
      <c r="F138" s="337">
        <f t="shared" si="35"/>
        <v>0.57560078712040053</v>
      </c>
      <c r="G138" s="337">
        <f t="shared" si="35"/>
        <v>0.97124232054386506</v>
      </c>
      <c r="H138" s="337">
        <f t="shared" si="35"/>
        <v>-2.0959072582348472</v>
      </c>
    </row>
    <row r="139" spans="1:9">
      <c r="A139" s="241"/>
      <c r="B139" s="242" t="s">
        <v>123</v>
      </c>
      <c r="C139" s="337"/>
      <c r="D139" s="337"/>
      <c r="E139" s="337"/>
      <c r="F139" s="337"/>
      <c r="G139" s="337"/>
      <c r="H139" s="337"/>
    </row>
    <row r="140" spans="1:9" s="151" customFormat="1" ht="8.1" customHeight="1">
      <c r="A140" s="156"/>
      <c r="B140" s="157"/>
      <c r="C140" s="170"/>
      <c r="D140" s="170"/>
      <c r="E140" s="170"/>
      <c r="F140" s="170"/>
      <c r="G140" s="170"/>
      <c r="H140" s="171"/>
    </row>
    <row r="141" spans="1:9">
      <c r="A141" s="250" t="s">
        <v>124</v>
      </c>
      <c r="B141" s="23"/>
      <c r="C141" s="107"/>
      <c r="D141" s="107">
        <v>4</v>
      </c>
      <c r="E141" s="107">
        <v>5</v>
      </c>
      <c r="F141" s="70">
        <v>7</v>
      </c>
      <c r="G141" s="70">
        <v>43</v>
      </c>
      <c r="H141" s="70">
        <v>15</v>
      </c>
      <c r="I141" s="113">
        <f>AVERAGE(C141:H141)</f>
        <v>14.8</v>
      </c>
    </row>
    <row r="142" spans="1:9" s="151" customFormat="1" ht="8.1" customHeight="1">
      <c r="A142" s="162"/>
      <c r="B142" s="157"/>
      <c r="C142" s="170"/>
      <c r="D142" s="170"/>
      <c r="E142" s="170"/>
      <c r="F142" s="170"/>
      <c r="G142" s="170"/>
      <c r="H142" s="171"/>
    </row>
    <row r="143" spans="1:9">
      <c r="A143" s="252" t="s">
        <v>125</v>
      </c>
      <c r="B143" s="252"/>
      <c r="C143" s="173"/>
      <c r="D143" s="173">
        <v>93926</v>
      </c>
      <c r="E143" s="173">
        <v>29998</v>
      </c>
      <c r="F143" s="164">
        <v>114344</v>
      </c>
      <c r="G143" s="164">
        <v>27709</v>
      </c>
      <c r="H143" s="164">
        <v>12307</v>
      </c>
      <c r="I143" s="110">
        <f>AVERAGE(C143:H143)</f>
        <v>55656.800000000003</v>
      </c>
    </row>
    <row r="144" spans="1:9">
      <c r="A144" s="251" t="s">
        <v>126</v>
      </c>
      <c r="B144" s="251"/>
      <c r="C144" s="173"/>
      <c r="D144" s="173">
        <v>35593</v>
      </c>
      <c r="E144" s="173">
        <v>8088</v>
      </c>
      <c r="F144" s="164">
        <v>61002</v>
      </c>
      <c r="G144" s="164">
        <v>1346</v>
      </c>
      <c r="H144" s="164">
        <v>3317</v>
      </c>
      <c r="I144" s="110">
        <f>AVERAGE(C144:H144)</f>
        <v>21869.200000000001</v>
      </c>
    </row>
    <row r="145" spans="1:9">
      <c r="A145" s="251" t="s">
        <v>127</v>
      </c>
      <c r="B145" s="251"/>
      <c r="C145" s="173"/>
      <c r="D145" s="173">
        <v>129519</v>
      </c>
      <c r="E145" s="173">
        <v>38086</v>
      </c>
      <c r="F145" s="164">
        <v>175346</v>
      </c>
      <c r="G145" s="164">
        <v>29055</v>
      </c>
      <c r="H145" s="164">
        <v>15624</v>
      </c>
      <c r="I145" s="110">
        <f>AVERAGE(C145:H145)</f>
        <v>77526</v>
      </c>
    </row>
  </sheetData>
  <mergeCells count="46">
    <mergeCell ref="D138:D139"/>
    <mergeCell ref="E138:E139"/>
    <mergeCell ref="F138:F139"/>
    <mergeCell ref="G138:G139"/>
    <mergeCell ref="H138:H139"/>
    <mergeCell ref="D136:D137"/>
    <mergeCell ref="E136:E137"/>
    <mergeCell ref="F136:F137"/>
    <mergeCell ref="G136:G137"/>
    <mergeCell ref="H136:H137"/>
    <mergeCell ref="D134:D135"/>
    <mergeCell ref="E134:E135"/>
    <mergeCell ref="F134:F135"/>
    <mergeCell ref="G134:G135"/>
    <mergeCell ref="H134:H135"/>
    <mergeCell ref="D131:D132"/>
    <mergeCell ref="E131:E132"/>
    <mergeCell ref="F131:F132"/>
    <mergeCell ref="G131:G132"/>
    <mergeCell ref="H131:H132"/>
    <mergeCell ref="D129:D130"/>
    <mergeCell ref="E129:E130"/>
    <mergeCell ref="F129:F130"/>
    <mergeCell ref="G129:G130"/>
    <mergeCell ref="H129:H130"/>
    <mergeCell ref="D127:D128"/>
    <mergeCell ref="E127:E128"/>
    <mergeCell ref="F127:F128"/>
    <mergeCell ref="G127:G128"/>
    <mergeCell ref="H127:H128"/>
    <mergeCell ref="A127:B127"/>
    <mergeCell ref="A81:B82"/>
    <mergeCell ref="A138:B138"/>
    <mergeCell ref="C127:C128"/>
    <mergeCell ref="C129:C130"/>
    <mergeCell ref="C131:C132"/>
    <mergeCell ref="C134:C135"/>
    <mergeCell ref="C136:C137"/>
    <mergeCell ref="C138:C139"/>
    <mergeCell ref="A1:B3"/>
    <mergeCell ref="C2:C3"/>
    <mergeCell ref="D2:D3"/>
    <mergeCell ref="E2:E3"/>
    <mergeCell ref="H2:H3"/>
    <mergeCell ref="F2:F3"/>
    <mergeCell ref="G2:G3"/>
  </mergeCells>
  <conditionalFormatting sqref="E127:H128">
    <cfRule type="cellIs" dxfId="21" priority="6" operator="lessThan">
      <formula>0</formula>
    </cfRule>
  </conditionalFormatting>
  <conditionalFormatting sqref="E69:H69">
    <cfRule type="cellIs" dxfId="20" priority="5" operator="lessThan">
      <formula>0</formula>
    </cfRule>
  </conditionalFormatting>
  <conditionalFormatting sqref="D127:D128">
    <cfRule type="cellIs" dxfId="19" priority="4" operator="lessThan">
      <formula>0</formula>
    </cfRule>
  </conditionalFormatting>
  <conditionalFormatting sqref="D69">
    <cfRule type="cellIs" dxfId="18" priority="3" operator="lessThan">
      <formula>0</formula>
    </cfRule>
  </conditionalFormatting>
  <conditionalFormatting sqref="C127:C128">
    <cfRule type="cellIs" dxfId="17" priority="2" operator="lessThan">
      <formula>0</formula>
    </cfRule>
  </conditionalFormatting>
  <conditionalFormatting sqref="C69">
    <cfRule type="cellIs" dxfId="16" priority="1" operator="lessThan">
      <formula>0</formula>
    </cfRule>
  </conditionalFormatting>
  <printOptions horizontalCentered="1"/>
  <pageMargins left="0.5" right="0.5" top="0.75" bottom="0.35" header="0.5" footer="0.15"/>
  <pageSetup scale="64" fitToHeight="2" orientation="portrait" r:id="rId1"/>
  <headerFooter alignWithMargins="0">
    <oddHeader>&amp;C&amp;"Arial,Bold"&amp;12CLASS IV+ FAIRS</oddHeader>
    <oddFooter>&amp;CFairs and Expositions</oddFooter>
  </headerFooter>
  <rowBreaks count="1" manualBreakCount="1">
    <brk id="80" max="7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49"/>
  <sheetViews>
    <sheetView view="pageBreakPreview" zoomScale="85" zoomScaleNormal="10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E2" sqref="E2:E3"/>
    </sheetView>
  </sheetViews>
  <sheetFormatPr defaultRowHeight="12.75"/>
  <cols>
    <col min="1" max="1" width="4.7109375" style="10" customWidth="1"/>
    <col min="2" max="2" width="56.42578125" style="10" customWidth="1"/>
    <col min="3" max="6" width="12.7109375" style="48" customWidth="1"/>
    <col min="7" max="7" width="11.28515625" style="10" bestFit="1" customWidth="1"/>
    <col min="8" max="8" width="12.7109375" style="10" customWidth="1"/>
    <col min="9" max="16384" width="9.140625" style="10"/>
  </cols>
  <sheetData>
    <row r="1" spans="1:8" ht="12" customHeight="1">
      <c r="A1" s="318"/>
      <c r="B1" s="319"/>
      <c r="C1" s="260"/>
      <c r="D1" s="260"/>
      <c r="E1" s="260"/>
      <c r="F1" s="260"/>
    </row>
    <row r="2" spans="1:8" ht="12" customHeight="1">
      <c r="A2" s="320"/>
      <c r="B2" s="321"/>
      <c r="C2" s="324" t="s">
        <v>175</v>
      </c>
      <c r="D2" s="327" t="s">
        <v>176</v>
      </c>
      <c r="E2" s="349" t="s">
        <v>188</v>
      </c>
      <c r="F2" s="327" t="s">
        <v>198</v>
      </c>
    </row>
    <row r="3" spans="1:8" ht="69" customHeight="1">
      <c r="A3" s="322"/>
      <c r="B3" s="323"/>
      <c r="C3" s="325"/>
      <c r="D3" s="328"/>
      <c r="E3" s="350"/>
      <c r="F3" s="328"/>
      <c r="H3" s="10" t="s">
        <v>39</v>
      </c>
    </row>
    <row r="4" spans="1:8" ht="13.5" customHeight="1">
      <c r="A4" s="262" t="s">
        <v>227</v>
      </c>
      <c r="B4" s="12"/>
      <c r="C4" s="39"/>
      <c r="D4" s="39"/>
      <c r="E4" s="39"/>
      <c r="F4" s="39"/>
    </row>
    <row r="5" spans="1:8" ht="13.5" customHeight="1">
      <c r="A5" s="267"/>
      <c r="B5" s="12" t="s">
        <v>40</v>
      </c>
      <c r="C5" s="14">
        <v>1970007</v>
      </c>
      <c r="D5" s="14">
        <v>173079</v>
      </c>
      <c r="E5" s="14">
        <v>186540</v>
      </c>
      <c r="F5" s="15">
        <v>2855548</v>
      </c>
    </row>
    <row r="6" spans="1:8" ht="13.5" customHeight="1">
      <c r="A6" s="267"/>
      <c r="B6" s="12" t="s">
        <v>214</v>
      </c>
      <c r="C6" s="30">
        <v>-1229830</v>
      </c>
      <c r="D6" s="30">
        <v>-2495963</v>
      </c>
      <c r="E6" s="30">
        <v>-1640128</v>
      </c>
      <c r="F6" s="19">
        <v>0</v>
      </c>
    </row>
    <row r="7" spans="1:8" ht="13.5" customHeight="1">
      <c r="A7" s="267"/>
      <c r="B7" s="12" t="s">
        <v>41</v>
      </c>
      <c r="C7" s="30">
        <v>0</v>
      </c>
      <c r="D7" s="30">
        <v>0</v>
      </c>
      <c r="E7" s="30">
        <v>0</v>
      </c>
      <c r="F7" s="19">
        <v>0</v>
      </c>
    </row>
    <row r="8" spans="1:8" ht="13.5" customHeight="1">
      <c r="A8" s="267"/>
      <c r="B8" s="12" t="s">
        <v>42</v>
      </c>
      <c r="C8" s="19">
        <v>2100549</v>
      </c>
      <c r="D8" s="19">
        <v>2423185</v>
      </c>
      <c r="E8" s="19">
        <v>23700856</v>
      </c>
      <c r="F8" s="19">
        <v>2333496</v>
      </c>
    </row>
    <row r="9" spans="1:8" ht="13.5" customHeight="1">
      <c r="A9" s="267"/>
      <c r="B9" s="12" t="s">
        <v>226</v>
      </c>
      <c r="C9" s="19">
        <v>0</v>
      </c>
      <c r="D9" s="19">
        <v>-120009.06</v>
      </c>
      <c r="E9" s="19">
        <v>338184</v>
      </c>
      <c r="F9" s="19">
        <v>0</v>
      </c>
      <c r="H9" s="20">
        <f>SUM(C9:E9)</f>
        <v>218174.94</v>
      </c>
    </row>
    <row r="10" spans="1:8" s="22" customFormat="1" ht="13.5" customHeight="1" thickBot="1">
      <c r="A10" s="265"/>
      <c r="B10" s="98" t="s">
        <v>43</v>
      </c>
      <c r="C10" s="67">
        <f>SUM(C5:C9)</f>
        <v>2840726</v>
      </c>
      <c r="D10" s="67">
        <f>SUM(D5:D9)</f>
        <v>-19708.059999999998</v>
      </c>
      <c r="E10" s="67">
        <f>SUM(E5:E9)</f>
        <v>22585452</v>
      </c>
      <c r="F10" s="67">
        <f>SUM(F5:F9)</f>
        <v>5189044</v>
      </c>
      <c r="H10" s="20">
        <f>SUM(C10:E10)</f>
        <v>25406469.940000001</v>
      </c>
    </row>
    <row r="11" spans="1:8" s="22" customFormat="1" ht="13.5" customHeight="1">
      <c r="A11" s="241" t="s">
        <v>44</v>
      </c>
      <c r="B11" s="36"/>
      <c r="C11" s="42"/>
      <c r="D11" s="42"/>
      <c r="E11" s="42"/>
      <c r="F11" s="24"/>
    </row>
    <row r="12" spans="1:8" s="22" customFormat="1" ht="13.5" customHeight="1">
      <c r="A12" s="264"/>
      <c r="B12" s="23" t="s">
        <v>45</v>
      </c>
      <c r="C12" s="24">
        <v>0</v>
      </c>
      <c r="D12" s="24">
        <v>0</v>
      </c>
      <c r="E12" s="24">
        <v>0</v>
      </c>
      <c r="F12" s="24">
        <v>0</v>
      </c>
      <c r="H12" s="20">
        <f>SUM(C12:E12)</f>
        <v>0</v>
      </c>
    </row>
    <row r="13" spans="1:8" s="22" customFormat="1" ht="13.5" customHeight="1">
      <c r="A13" s="264"/>
      <c r="B13" s="23" t="s">
        <v>46</v>
      </c>
      <c r="C13" s="24">
        <v>0</v>
      </c>
      <c r="D13" s="24">
        <v>203730</v>
      </c>
      <c r="E13" s="24">
        <v>0</v>
      </c>
      <c r="F13" s="24">
        <v>0</v>
      </c>
      <c r="H13" s="20">
        <f>SUM(C13:E13)</f>
        <v>203730</v>
      </c>
    </row>
    <row r="14" spans="1:8" s="22" customFormat="1" ht="13.5" customHeight="1" thickBot="1">
      <c r="A14" s="265"/>
      <c r="B14" s="32" t="s">
        <v>47</v>
      </c>
      <c r="C14" s="33">
        <v>0</v>
      </c>
      <c r="D14" s="33">
        <v>0</v>
      </c>
      <c r="E14" s="33">
        <v>0</v>
      </c>
      <c r="F14" s="33">
        <v>0</v>
      </c>
      <c r="H14" s="20">
        <f>SUM(C14:E14)</f>
        <v>0</v>
      </c>
    </row>
    <row r="15" spans="1:8" ht="13.5" customHeight="1">
      <c r="A15" s="266" t="s">
        <v>48</v>
      </c>
      <c r="B15" s="25"/>
      <c r="C15" s="28"/>
      <c r="D15" s="28"/>
      <c r="E15" s="28"/>
      <c r="F15" s="28"/>
    </row>
    <row r="16" spans="1:8" ht="13.5" customHeight="1">
      <c r="A16" s="267"/>
      <c r="B16" s="29" t="s">
        <v>49</v>
      </c>
      <c r="C16" s="19">
        <v>307850</v>
      </c>
      <c r="D16" s="19">
        <v>1995134</v>
      </c>
      <c r="E16" s="19">
        <v>0</v>
      </c>
      <c r="F16" s="19">
        <v>851892</v>
      </c>
    </row>
    <row r="17" spans="1:10" ht="13.5" customHeight="1">
      <c r="A17" s="267"/>
      <c r="B17" s="29" t="s">
        <v>50</v>
      </c>
      <c r="C17" s="19">
        <v>13615</v>
      </c>
      <c r="D17" s="19">
        <v>368623</v>
      </c>
      <c r="E17" s="19">
        <v>0</v>
      </c>
      <c r="F17" s="19">
        <v>122415</v>
      </c>
    </row>
    <row r="18" spans="1:10" ht="13.5" customHeight="1">
      <c r="A18" s="267"/>
      <c r="B18" s="29" t="s">
        <v>51</v>
      </c>
      <c r="C18" s="19">
        <v>0</v>
      </c>
      <c r="D18" s="19">
        <v>1369997.7</v>
      </c>
      <c r="E18" s="19">
        <v>0</v>
      </c>
      <c r="F18" s="19">
        <v>283145</v>
      </c>
    </row>
    <row r="19" spans="1:10" ht="13.5" customHeight="1">
      <c r="A19" s="267"/>
      <c r="B19" s="29" t="s">
        <v>52</v>
      </c>
      <c r="C19" s="19">
        <v>104504</v>
      </c>
      <c r="D19" s="19">
        <v>1072287</v>
      </c>
      <c r="E19" s="19">
        <v>0</v>
      </c>
      <c r="F19" s="19">
        <v>344563</v>
      </c>
    </row>
    <row r="20" spans="1:10" ht="13.5" customHeight="1">
      <c r="A20" s="267"/>
      <c r="B20" s="29" t="s">
        <v>53</v>
      </c>
      <c r="C20" s="19">
        <v>121645</v>
      </c>
      <c r="D20" s="19">
        <v>17418</v>
      </c>
      <c r="E20" s="19">
        <v>0</v>
      </c>
      <c r="F20" s="19">
        <v>59774</v>
      </c>
    </row>
    <row r="21" spans="1:10" ht="13.5" customHeight="1">
      <c r="A21" s="267"/>
      <c r="B21" s="29" t="s">
        <v>54</v>
      </c>
      <c r="C21" s="19">
        <v>23818</v>
      </c>
      <c r="D21" s="19">
        <v>187695.16</v>
      </c>
      <c r="E21" s="19">
        <v>0</v>
      </c>
      <c r="F21" s="19">
        <v>3041069</v>
      </c>
    </row>
    <row r="22" spans="1:10" ht="13.5" customHeight="1">
      <c r="A22" s="267"/>
      <c r="B22" s="29" t="s">
        <v>55</v>
      </c>
      <c r="C22" s="17">
        <v>0</v>
      </c>
      <c r="D22" s="17"/>
      <c r="E22" s="17">
        <v>0</v>
      </c>
      <c r="F22" s="17">
        <v>0</v>
      </c>
    </row>
    <row r="23" spans="1:10" ht="13.5" customHeight="1">
      <c r="A23" s="267"/>
      <c r="B23" s="29" t="s">
        <v>56</v>
      </c>
      <c r="C23" s="19">
        <v>0</v>
      </c>
      <c r="D23" s="19"/>
      <c r="E23" s="19">
        <v>0</v>
      </c>
      <c r="F23" s="19">
        <v>2614291</v>
      </c>
    </row>
    <row r="24" spans="1:10" ht="13.5" customHeight="1">
      <c r="A24" s="267"/>
      <c r="B24" s="29" t="s">
        <v>57</v>
      </c>
      <c r="C24" s="19">
        <v>0</v>
      </c>
      <c r="D24" s="19">
        <v>88270</v>
      </c>
      <c r="E24" s="19">
        <v>0</v>
      </c>
      <c r="F24" s="19">
        <v>0</v>
      </c>
    </row>
    <row r="25" spans="1:10" ht="13.5" customHeight="1">
      <c r="A25" s="267"/>
      <c r="B25" s="29" t="s">
        <v>58</v>
      </c>
      <c r="C25" s="19">
        <v>0</v>
      </c>
      <c r="D25" s="19"/>
      <c r="E25" s="19">
        <v>0</v>
      </c>
      <c r="F25" s="19">
        <v>0</v>
      </c>
    </row>
    <row r="26" spans="1:10" ht="13.5" customHeight="1">
      <c r="A26" s="267"/>
      <c r="B26" s="29" t="s">
        <v>59</v>
      </c>
      <c r="C26" s="19">
        <v>0</v>
      </c>
      <c r="D26" s="19">
        <v>83405</v>
      </c>
      <c r="E26" s="19">
        <v>0</v>
      </c>
      <c r="F26" s="19">
        <v>0</v>
      </c>
    </row>
    <row r="27" spans="1:10" ht="13.5" customHeight="1">
      <c r="A27" s="267"/>
      <c r="B27" s="29" t="s">
        <v>60</v>
      </c>
      <c r="C27" s="19">
        <v>147592</v>
      </c>
      <c r="D27" s="19">
        <v>953128.05</v>
      </c>
      <c r="E27" s="19">
        <v>0</v>
      </c>
      <c r="F27" s="19">
        <v>476928</v>
      </c>
    </row>
    <row r="28" spans="1:10" ht="13.5" customHeight="1">
      <c r="A28" s="267"/>
      <c r="B28" s="29" t="s">
        <v>148</v>
      </c>
      <c r="C28" s="19">
        <v>0</v>
      </c>
      <c r="D28" s="19"/>
      <c r="E28" s="19">
        <v>0</v>
      </c>
      <c r="F28" s="19">
        <v>0</v>
      </c>
    </row>
    <row r="29" spans="1:10" ht="13.5" customHeight="1">
      <c r="A29" s="267"/>
      <c r="B29" s="29" t="s">
        <v>62</v>
      </c>
      <c r="C29" s="19">
        <v>4111452</v>
      </c>
      <c r="D29" s="19">
        <v>1483785</v>
      </c>
      <c r="E29" s="19">
        <v>0</v>
      </c>
      <c r="F29" s="19">
        <v>5361352</v>
      </c>
      <c r="H29" s="20">
        <f>SUM(C29:E29)</f>
        <v>5595237</v>
      </c>
    </row>
    <row r="30" spans="1:10" ht="13.5" customHeight="1">
      <c r="A30" s="267"/>
      <c r="B30" s="29" t="s">
        <v>63</v>
      </c>
      <c r="C30" s="19">
        <v>39029</v>
      </c>
      <c r="D30" s="19"/>
      <c r="E30" s="19">
        <v>0</v>
      </c>
      <c r="F30" s="19">
        <v>31016</v>
      </c>
      <c r="H30" s="20">
        <f>SUM(C30:E30)</f>
        <v>39029</v>
      </c>
    </row>
    <row r="31" spans="1:10" ht="13.5" customHeight="1">
      <c r="A31" s="267"/>
      <c r="B31" s="29" t="s">
        <v>64</v>
      </c>
      <c r="C31" s="17">
        <v>168988</v>
      </c>
      <c r="D31" s="17">
        <v>147155</v>
      </c>
      <c r="E31" s="17">
        <v>66900</v>
      </c>
      <c r="F31" s="17">
        <v>125451</v>
      </c>
      <c r="H31" s="20">
        <f>SUM(C31:E31)</f>
        <v>383043</v>
      </c>
      <c r="I31" s="20">
        <f>+H31+H30+H9</f>
        <v>640246.93999999994</v>
      </c>
      <c r="J31" s="10" t="s">
        <v>65</v>
      </c>
    </row>
    <row r="32" spans="1:10" s="22" customFormat="1" ht="13.5" customHeight="1" thickBot="1">
      <c r="A32" s="263" t="s">
        <v>66</v>
      </c>
      <c r="B32" s="32"/>
      <c r="C32" s="33">
        <f>SUM(C16:C31)</f>
        <v>5038493</v>
      </c>
      <c r="D32" s="33">
        <f>SUM(D16:D31)</f>
        <v>7766897.9100000001</v>
      </c>
      <c r="E32" s="33">
        <f>SUM(E16:E31)</f>
        <v>66900</v>
      </c>
      <c r="F32" s="33">
        <f>SUM(F16:F31)</f>
        <v>13311896</v>
      </c>
      <c r="G32" s="34">
        <f>AVERAGE(C32:F32)</f>
        <v>6546046.7275</v>
      </c>
      <c r="H32" s="34">
        <f>SUM(C32:E32)+SUM(C12:E14)</f>
        <v>13076020.91</v>
      </c>
    </row>
    <row r="33" spans="1:8" ht="13.5" customHeight="1">
      <c r="A33" s="266" t="s">
        <v>68</v>
      </c>
      <c r="B33" s="25"/>
      <c r="C33" s="28"/>
      <c r="D33" s="28"/>
      <c r="E33" s="28"/>
      <c r="F33" s="28"/>
    </row>
    <row r="34" spans="1:8" ht="13.5" customHeight="1">
      <c r="A34" s="267"/>
      <c r="B34" s="29" t="s">
        <v>69</v>
      </c>
      <c r="C34" s="19">
        <v>813978</v>
      </c>
      <c r="D34" s="19">
        <v>1493837.79</v>
      </c>
      <c r="E34" s="19">
        <v>-108322</v>
      </c>
      <c r="F34" s="19">
        <v>2052071</v>
      </c>
      <c r="H34" s="20">
        <f>SUM(C34:E34)</f>
        <v>2199493.79</v>
      </c>
    </row>
    <row r="35" spans="1:8" ht="13.5" customHeight="1">
      <c r="A35" s="267"/>
      <c r="B35" s="29" t="s">
        <v>70</v>
      </c>
      <c r="C35" s="19">
        <v>1022105</v>
      </c>
      <c r="D35" s="19">
        <v>2090599.2799999998</v>
      </c>
      <c r="E35" s="19">
        <v>0</v>
      </c>
      <c r="F35" s="19">
        <v>2452836</v>
      </c>
      <c r="H35" s="20">
        <f>SUM(C35:E35)</f>
        <v>3112704.28</v>
      </c>
    </row>
    <row r="36" spans="1:8" ht="13.5" customHeight="1">
      <c r="A36" s="267"/>
      <c r="B36" s="29" t="s">
        <v>71</v>
      </c>
      <c r="C36" s="19">
        <v>137082</v>
      </c>
      <c r="D36" s="19">
        <v>278153.84000000003</v>
      </c>
      <c r="E36" s="19">
        <v>0</v>
      </c>
      <c r="F36" s="19">
        <v>733112</v>
      </c>
    </row>
    <row r="37" spans="1:8" ht="13.5" customHeight="1">
      <c r="A37" s="267"/>
      <c r="B37" s="29" t="s">
        <v>72</v>
      </c>
      <c r="C37" s="19">
        <v>85642</v>
      </c>
      <c r="D37" s="19">
        <v>860265.82</v>
      </c>
      <c r="E37" s="19">
        <v>0</v>
      </c>
      <c r="F37" s="19">
        <v>299412</v>
      </c>
    </row>
    <row r="38" spans="1:8" ht="13.5" customHeight="1">
      <c r="A38" s="267"/>
      <c r="B38" s="29" t="s">
        <v>60</v>
      </c>
      <c r="C38" s="19">
        <v>235286</v>
      </c>
      <c r="D38" s="19">
        <v>295719.91000000003</v>
      </c>
      <c r="E38" s="19">
        <v>0</v>
      </c>
      <c r="F38" s="19">
        <v>127381</v>
      </c>
    </row>
    <row r="39" spans="1:8" ht="13.5" customHeight="1">
      <c r="A39" s="267"/>
      <c r="B39" s="29" t="s">
        <v>73</v>
      </c>
      <c r="C39" s="19">
        <v>924568</v>
      </c>
      <c r="D39" s="19"/>
      <c r="E39" s="19">
        <v>0</v>
      </c>
      <c r="F39" s="19">
        <v>0</v>
      </c>
    </row>
    <row r="40" spans="1:8" ht="13.5" customHeight="1">
      <c r="A40" s="267"/>
      <c r="B40" s="29" t="s">
        <v>74</v>
      </c>
      <c r="C40" s="19">
        <v>73440</v>
      </c>
      <c r="D40" s="19">
        <v>153508.78</v>
      </c>
      <c r="E40" s="19">
        <v>0</v>
      </c>
      <c r="F40" s="19">
        <v>57129</v>
      </c>
    </row>
    <row r="41" spans="1:8" ht="13.5" customHeight="1">
      <c r="A41" s="267"/>
      <c r="B41" s="29" t="s">
        <v>53</v>
      </c>
      <c r="C41" s="19">
        <v>106091</v>
      </c>
      <c r="D41" s="19">
        <v>82219.94</v>
      </c>
      <c r="E41" s="19">
        <v>0</v>
      </c>
      <c r="F41" s="19">
        <v>196107</v>
      </c>
    </row>
    <row r="42" spans="1:8" ht="13.5" customHeight="1">
      <c r="A42" s="267"/>
      <c r="B42" s="29" t="s">
        <v>54</v>
      </c>
      <c r="C42" s="19">
        <v>25789</v>
      </c>
      <c r="D42" s="19">
        <v>215917.43</v>
      </c>
      <c r="E42" s="19">
        <v>0</v>
      </c>
      <c r="F42" s="19">
        <v>1694026</v>
      </c>
    </row>
    <row r="43" spans="1:8" ht="13.5" customHeight="1">
      <c r="A43" s="267"/>
      <c r="B43" s="29" t="s">
        <v>55</v>
      </c>
      <c r="C43" s="19">
        <v>0</v>
      </c>
      <c r="D43" s="19">
        <v>53754</v>
      </c>
      <c r="E43" s="19">
        <v>0</v>
      </c>
      <c r="F43" s="19">
        <v>1737273</v>
      </c>
    </row>
    <row r="44" spans="1:8" ht="13.5" customHeight="1">
      <c r="A44" s="267"/>
      <c r="B44" s="29" t="s">
        <v>56</v>
      </c>
      <c r="C44" s="19">
        <v>0</v>
      </c>
      <c r="D44" s="19">
        <v>204.56</v>
      </c>
      <c r="E44" s="19">
        <v>0</v>
      </c>
      <c r="F44" s="19">
        <v>1461513</v>
      </c>
    </row>
    <row r="45" spans="1:8" ht="13.5" customHeight="1">
      <c r="A45" s="267"/>
      <c r="B45" s="29" t="s">
        <v>75</v>
      </c>
      <c r="C45" s="19">
        <v>236272</v>
      </c>
      <c r="D45" s="19">
        <v>1320204.5</v>
      </c>
      <c r="E45" s="19">
        <v>0</v>
      </c>
      <c r="F45" s="19">
        <v>650113</v>
      </c>
    </row>
    <row r="46" spans="1:8" ht="13.5" customHeight="1">
      <c r="A46" s="267"/>
      <c r="B46" s="29" t="s">
        <v>58</v>
      </c>
      <c r="C46" s="19">
        <v>0</v>
      </c>
      <c r="D46" s="19"/>
      <c r="E46" s="19">
        <v>0</v>
      </c>
      <c r="F46" s="19">
        <v>0</v>
      </c>
    </row>
    <row r="47" spans="1:8" ht="13.5" customHeight="1">
      <c r="A47" s="267"/>
      <c r="B47" s="29" t="s">
        <v>76</v>
      </c>
      <c r="C47" s="19">
        <v>0</v>
      </c>
      <c r="D47" s="19">
        <v>206306.11000000002</v>
      </c>
      <c r="E47" s="19">
        <v>0</v>
      </c>
      <c r="F47" s="19">
        <v>0</v>
      </c>
    </row>
    <row r="48" spans="1:8" ht="13.5" customHeight="1">
      <c r="A48" s="267"/>
      <c r="B48" s="29" t="s">
        <v>77</v>
      </c>
      <c r="C48" s="19">
        <v>11221</v>
      </c>
      <c r="D48" s="19">
        <v>0</v>
      </c>
      <c r="E48" s="19">
        <v>0</v>
      </c>
      <c r="F48" s="19">
        <v>166324</v>
      </c>
    </row>
    <row r="49" spans="1:8" ht="13.5" customHeight="1">
      <c r="A49" s="267"/>
      <c r="B49" s="29" t="s">
        <v>78</v>
      </c>
      <c r="C49" s="19">
        <v>57185</v>
      </c>
      <c r="D49" s="19">
        <v>62850.06</v>
      </c>
      <c r="E49" s="19">
        <v>0</v>
      </c>
      <c r="F49" s="19">
        <v>-1421</v>
      </c>
    </row>
    <row r="50" spans="1:8" ht="13.5" customHeight="1">
      <c r="A50" s="267"/>
      <c r="B50" s="29" t="s">
        <v>79</v>
      </c>
      <c r="C50" s="19">
        <v>-176</v>
      </c>
      <c r="D50" s="19">
        <v>672.98</v>
      </c>
      <c r="E50" s="19">
        <v>0</v>
      </c>
      <c r="F50" s="19">
        <v>10992</v>
      </c>
    </row>
    <row r="51" spans="1:8" ht="13.5" customHeight="1">
      <c r="A51" s="267"/>
      <c r="B51" s="29" t="s">
        <v>80</v>
      </c>
      <c r="C51" s="19">
        <v>0</v>
      </c>
      <c r="D51" s="19">
        <v>4730.83</v>
      </c>
      <c r="E51" s="19">
        <v>0</v>
      </c>
      <c r="F51" s="19">
        <v>0</v>
      </c>
    </row>
    <row r="52" spans="1:8" s="22" customFormat="1" ht="13.5" customHeight="1" thickBot="1">
      <c r="A52" s="263" t="s">
        <v>81</v>
      </c>
      <c r="B52" s="32"/>
      <c r="C52" s="33">
        <f>SUM(C34:C51)</f>
        <v>3728483</v>
      </c>
      <c r="D52" s="33">
        <f>SUM(D34:D51)</f>
        <v>7118945.8300000001</v>
      </c>
      <c r="E52" s="33">
        <f>SUM(E34:E51)</f>
        <v>-108322</v>
      </c>
      <c r="F52" s="33">
        <f>SUM(F34:F51)</f>
        <v>11636868</v>
      </c>
      <c r="G52" s="34">
        <f>AVERAGE(C52:F52)</f>
        <v>5593993.7074999996</v>
      </c>
      <c r="H52" s="34">
        <f>+SUM(C52:E52)+SUM(C54:E54)</f>
        <v>12303448.52</v>
      </c>
    </row>
    <row r="53" spans="1:8" ht="13.5" customHeight="1">
      <c r="A53" s="266" t="s">
        <v>82</v>
      </c>
      <c r="B53" s="25"/>
      <c r="C53" s="17"/>
      <c r="D53" s="17"/>
      <c r="E53" s="17"/>
      <c r="F53" s="17"/>
    </row>
    <row r="54" spans="1:8" s="22" customFormat="1" ht="13.5" customHeight="1">
      <c r="A54" s="264"/>
      <c r="B54" s="23" t="s">
        <v>83</v>
      </c>
      <c r="C54" s="24">
        <v>228572</v>
      </c>
      <c r="D54" s="24">
        <v>244216.69</v>
      </c>
      <c r="E54" s="24">
        <v>1091553</v>
      </c>
      <c r="F54" s="24">
        <v>867479</v>
      </c>
      <c r="H54" s="20">
        <f>SUM(C54:E54)</f>
        <v>1564341.69</v>
      </c>
    </row>
    <row r="55" spans="1:8" s="22" customFormat="1" ht="13.5" customHeight="1">
      <c r="A55" s="268"/>
      <c r="B55" s="36" t="s">
        <v>201</v>
      </c>
      <c r="C55" s="24">
        <v>65425</v>
      </c>
      <c r="D55" s="42">
        <v>873831.77</v>
      </c>
      <c r="E55" s="24">
        <v>540553</v>
      </c>
      <c r="F55" s="42">
        <v>0</v>
      </c>
      <c r="H55" s="20">
        <f>SUM(C55:E55)</f>
        <v>1479809.77</v>
      </c>
    </row>
    <row r="56" spans="1:8" s="22" customFormat="1" ht="13.5" customHeight="1">
      <c r="A56" s="268"/>
      <c r="B56" s="36" t="s">
        <v>229</v>
      </c>
      <c r="C56" s="24">
        <v>0</v>
      </c>
      <c r="D56" s="42">
        <v>0</v>
      </c>
      <c r="E56" s="24">
        <v>0</v>
      </c>
      <c r="F56" s="42">
        <v>0</v>
      </c>
      <c r="H56" s="20">
        <f>SUM(C56:F56)</f>
        <v>0</v>
      </c>
    </row>
    <row r="57" spans="1:8" s="22" customFormat="1" ht="13.5" customHeight="1">
      <c r="A57" s="241" t="s">
        <v>230</v>
      </c>
      <c r="B57" s="36"/>
      <c r="C57" s="24">
        <f>+C32-C52</f>
        <v>1310010</v>
      </c>
      <c r="D57" s="24">
        <f t="shared" ref="D57:F57" si="0">+D32-D52</f>
        <v>647952.08000000007</v>
      </c>
      <c r="E57" s="24">
        <f t="shared" si="0"/>
        <v>175222</v>
      </c>
      <c r="F57" s="24">
        <f t="shared" si="0"/>
        <v>1675028</v>
      </c>
      <c r="G57" s="34">
        <f t="shared" ref="G57:G62" si="1">AVERAGE(C57:F57)</f>
        <v>952053.02</v>
      </c>
    </row>
    <row r="58" spans="1:8" s="22" customFormat="1" ht="13.5" customHeight="1">
      <c r="A58" s="241" t="s">
        <v>239</v>
      </c>
      <c r="B58" s="36"/>
      <c r="C58" s="24">
        <f>+C32-C52-C54</f>
        <v>1081438</v>
      </c>
      <c r="D58" s="24">
        <f t="shared" ref="D58:F58" si="2">+D32-D52-D54</f>
        <v>403735.39000000007</v>
      </c>
      <c r="E58" s="24">
        <f t="shared" si="2"/>
        <v>-916331</v>
      </c>
      <c r="F58" s="24">
        <f t="shared" si="2"/>
        <v>807549</v>
      </c>
      <c r="G58" s="34">
        <f t="shared" si="1"/>
        <v>344097.84750000003</v>
      </c>
    </row>
    <row r="59" spans="1:8" s="22" customFormat="1" ht="13.5" customHeight="1">
      <c r="A59" s="241" t="s">
        <v>231</v>
      </c>
      <c r="B59" s="36"/>
      <c r="C59" s="24">
        <f>+C32-C52-SUM(C54:C56)</f>
        <v>1016013</v>
      </c>
      <c r="D59" s="24">
        <f t="shared" ref="D59:F59" si="3">+D32-D52-SUM(D54:D56)</f>
        <v>-470096.37999999989</v>
      </c>
      <c r="E59" s="24">
        <f t="shared" si="3"/>
        <v>-1456884</v>
      </c>
      <c r="F59" s="24">
        <f t="shared" si="3"/>
        <v>807549</v>
      </c>
      <c r="G59" s="34">
        <f t="shared" si="1"/>
        <v>-25854.594999999972</v>
      </c>
    </row>
    <row r="60" spans="1:8" s="22" customFormat="1" ht="13.5" customHeight="1">
      <c r="A60" s="241" t="s">
        <v>232</v>
      </c>
      <c r="B60" s="36"/>
      <c r="C60" s="24">
        <f>+C32+SUM(C12:C14)-C52</f>
        <v>1310010</v>
      </c>
      <c r="D60" s="24">
        <f t="shared" ref="D60:F60" si="4">+D32+SUM(D12:D14)-D52</f>
        <v>851682.08000000007</v>
      </c>
      <c r="E60" s="24">
        <f t="shared" si="4"/>
        <v>175222</v>
      </c>
      <c r="F60" s="24">
        <f t="shared" si="4"/>
        <v>1675028</v>
      </c>
      <c r="G60" s="34">
        <f t="shared" si="1"/>
        <v>1002985.52</v>
      </c>
    </row>
    <row r="61" spans="1:8" s="22" customFormat="1" ht="13.5" customHeight="1">
      <c r="A61" s="241" t="s">
        <v>240</v>
      </c>
      <c r="B61" s="36"/>
      <c r="C61" s="24">
        <f>+C32+SUM(C12:C14)-C52-C54</f>
        <v>1081438</v>
      </c>
      <c r="D61" s="24">
        <f t="shared" ref="D61:F61" si="5">+D32+SUM(D12:D14)-D52-D54</f>
        <v>607465.39000000013</v>
      </c>
      <c r="E61" s="24">
        <f t="shared" si="5"/>
        <v>-916331</v>
      </c>
      <c r="F61" s="24">
        <f t="shared" si="5"/>
        <v>807549</v>
      </c>
      <c r="G61" s="34">
        <f t="shared" si="1"/>
        <v>395030.34750000003</v>
      </c>
    </row>
    <row r="62" spans="1:8" s="22" customFormat="1" ht="13.5" customHeight="1">
      <c r="A62" s="241" t="s">
        <v>233</v>
      </c>
      <c r="B62" s="36"/>
      <c r="C62" s="24">
        <f>+C32+SUM(C12:C14)-C52-SUM(C54:C56)</f>
        <v>1016013</v>
      </c>
      <c r="D62" s="24">
        <f t="shared" ref="D62:F62" si="6">+D32+SUM(D12:D14)-D52-SUM(D54:D56)</f>
        <v>-266366.37999999989</v>
      </c>
      <c r="E62" s="24">
        <f t="shared" si="6"/>
        <v>-1456884</v>
      </c>
      <c r="F62" s="24">
        <f t="shared" si="6"/>
        <v>807549</v>
      </c>
      <c r="G62" s="34">
        <f t="shared" si="1"/>
        <v>25077.905000000028</v>
      </c>
      <c r="H62" s="34">
        <f>SUM(C62:E62)</f>
        <v>-707237.37999999989</v>
      </c>
    </row>
    <row r="63" spans="1:8" ht="13.5" customHeight="1">
      <c r="A63" s="262" t="s">
        <v>228</v>
      </c>
      <c r="B63" s="12"/>
      <c r="C63" s="37"/>
      <c r="D63" s="39"/>
      <c r="E63" s="39"/>
      <c r="F63" s="39"/>
      <c r="G63" s="95"/>
    </row>
    <row r="64" spans="1:8" s="48" customFormat="1" ht="13.5" customHeight="1">
      <c r="A64" s="269"/>
      <c r="B64" s="210" t="s">
        <v>40</v>
      </c>
      <c r="C64" s="17">
        <v>3118446</v>
      </c>
      <c r="D64" s="19">
        <v>96379.21</v>
      </c>
      <c r="E64" s="19">
        <v>-137206</v>
      </c>
      <c r="F64" s="19">
        <v>3955631</v>
      </c>
      <c r="G64" s="213">
        <f>SUM(C64:F64)/4</f>
        <v>1758312.5525</v>
      </c>
    </row>
    <row r="65" spans="1:7" s="48" customFormat="1" ht="13.5" customHeight="1">
      <c r="A65" s="269"/>
      <c r="B65" s="210" t="s">
        <v>234</v>
      </c>
      <c r="C65" s="17">
        <v>-1151489.73</v>
      </c>
      <c r="D65" s="19">
        <v>-2975906.54</v>
      </c>
      <c r="E65" s="19">
        <v>-1409878</v>
      </c>
      <c r="F65" s="19">
        <v>0</v>
      </c>
      <c r="G65" s="213"/>
    </row>
    <row r="66" spans="1:7" s="48" customFormat="1" ht="13.5" customHeight="1">
      <c r="A66" s="269"/>
      <c r="B66" s="210" t="s">
        <v>41</v>
      </c>
      <c r="C66" s="17">
        <v>0</v>
      </c>
      <c r="D66" s="19">
        <v>0</v>
      </c>
      <c r="E66" s="19">
        <v>0</v>
      </c>
      <c r="F66" s="19">
        <v>0</v>
      </c>
      <c r="G66" s="96">
        <f>MAX(C64:F64)</f>
        <v>3955631</v>
      </c>
    </row>
    <row r="67" spans="1:7" s="48" customFormat="1" ht="13.5" customHeight="1">
      <c r="A67" s="269"/>
      <c r="B67" s="210" t="s">
        <v>42</v>
      </c>
      <c r="C67" s="17">
        <v>1889779.9200000018</v>
      </c>
      <c r="D67" s="19">
        <v>2593452.8900000015</v>
      </c>
      <c r="E67" s="19">
        <v>22675652</v>
      </c>
      <c r="F67" s="19">
        <v>2040965</v>
      </c>
      <c r="G67" s="96">
        <f>MIN(C64:F64)</f>
        <v>-137206</v>
      </c>
    </row>
    <row r="68" spans="1:7" s="22" customFormat="1" ht="13.5" customHeight="1">
      <c r="A68" s="241"/>
      <c r="B68" s="41" t="s">
        <v>43</v>
      </c>
      <c r="C68" s="21">
        <f>SUM(C64:C67)</f>
        <v>3856736.1900000018</v>
      </c>
      <c r="D68" s="57">
        <f>SUM(D64:D67)</f>
        <v>-286074.43999999855</v>
      </c>
      <c r="E68" s="57">
        <f>SUM(E64:E67)</f>
        <v>21128568</v>
      </c>
      <c r="F68" s="57">
        <f>SUM(F64:F67)</f>
        <v>5996596</v>
      </c>
    </row>
    <row r="69" spans="1:7" s="82" customFormat="1">
      <c r="A69" s="270" t="s">
        <v>84</v>
      </c>
      <c r="B69" s="270"/>
      <c r="C69" s="271">
        <f t="shared" ref="C69" si="7">C64/(C52)</f>
        <v>0.83638466368225362</v>
      </c>
      <c r="D69" s="271">
        <f>D64/(D52)</f>
        <v>1.3538410363209633E-2</v>
      </c>
      <c r="E69" s="271">
        <f>E64/(E52)</f>
        <v>1.2666494340946437</v>
      </c>
      <c r="F69" s="281">
        <f>F64/(F52)</f>
        <v>0.33992230555506858</v>
      </c>
      <c r="G69" s="119">
        <f>AVERAGE(C69:F69)</f>
        <v>0.61412370342379385</v>
      </c>
    </row>
    <row r="70" spans="1:7">
      <c r="A70" s="59"/>
      <c r="B70" s="59" t="s">
        <v>85</v>
      </c>
      <c r="C70" s="46">
        <f t="shared" ref="C70:E70" si="8">+C10+C12+C13+C14+C32-C52-C54-C68-C55-C56</f>
        <v>2.8099999981932342</v>
      </c>
      <c r="D70" s="46">
        <f t="shared" si="8"/>
        <v>-9.3132257461547852E-10</v>
      </c>
      <c r="E70" s="46">
        <f t="shared" si="8"/>
        <v>0</v>
      </c>
      <c r="F70" s="46">
        <f>+F10+F12+F13+F14+F32-F52-F54-F68-F55-F56</f>
        <v>-3</v>
      </c>
      <c r="G70" s="47">
        <f>MAX(C69:F69)</f>
        <v>1.2666494340946437</v>
      </c>
    </row>
    <row r="71" spans="1:7">
      <c r="A71" s="51"/>
      <c r="B71" s="51"/>
      <c r="C71" s="46">
        <f>+C10+C62-C68</f>
        <v>2.8099999981932342</v>
      </c>
      <c r="D71" s="46">
        <f>+D10+D62-D68</f>
        <v>-1.3387762010097504E-9</v>
      </c>
      <c r="E71" s="46">
        <f>+E10+E62-E68</f>
        <v>0</v>
      </c>
      <c r="F71" s="46">
        <f>+F10+F62-F68</f>
        <v>-3</v>
      </c>
      <c r="G71" s="120">
        <f>MIN(C69:F69)</f>
        <v>1.3538410363209633E-2</v>
      </c>
    </row>
    <row r="72" spans="1:7">
      <c r="A72" s="51"/>
      <c r="B72" s="51"/>
      <c r="C72" s="46"/>
      <c r="D72" s="46"/>
      <c r="E72" s="46"/>
      <c r="F72" s="46"/>
      <c r="G72" s="120"/>
    </row>
    <row r="73" spans="1:7" ht="12.75" customHeight="1">
      <c r="A73" s="180" t="s">
        <v>195</v>
      </c>
      <c r="B73" s="134"/>
      <c r="C73" s="134"/>
      <c r="D73" s="134"/>
      <c r="E73" s="134"/>
      <c r="F73" s="46"/>
      <c r="G73" s="120"/>
    </row>
    <row r="74" spans="1:7" ht="12.75" customHeight="1">
      <c r="A74" s="177" t="s">
        <v>196</v>
      </c>
      <c r="B74" s="134"/>
      <c r="C74" s="134"/>
      <c r="D74" s="134"/>
      <c r="E74" s="134"/>
    </row>
    <row r="75" spans="1:7" ht="12.75" customHeight="1">
      <c r="A75" s="178" t="s">
        <v>86</v>
      </c>
      <c r="B75" s="134"/>
      <c r="C75" s="134"/>
      <c r="D75" s="134"/>
      <c r="E75" s="134"/>
    </row>
    <row r="76" spans="1:7">
      <c r="A76" s="179"/>
      <c r="B76" s="52"/>
      <c r="C76" s="52"/>
      <c r="D76" s="52"/>
      <c r="E76" s="52"/>
    </row>
    <row r="77" spans="1:7" ht="12.75" customHeight="1">
      <c r="A77" s="177" t="s">
        <v>197</v>
      </c>
      <c r="B77" s="134"/>
      <c r="C77" s="134"/>
      <c r="D77" s="134"/>
      <c r="E77" s="134"/>
    </row>
    <row r="78" spans="1:7" ht="12.75" customHeight="1">
      <c r="A78" s="177" t="s">
        <v>87</v>
      </c>
      <c r="B78" s="134"/>
      <c r="C78" s="134"/>
      <c r="D78" s="134"/>
      <c r="E78" s="134"/>
    </row>
    <row r="79" spans="1:7" ht="12.75" customHeight="1">
      <c r="A79" s="177" t="s">
        <v>88</v>
      </c>
      <c r="B79" s="6"/>
      <c r="C79" s="142"/>
      <c r="D79" s="142"/>
      <c r="E79" s="142"/>
    </row>
    <row r="80" spans="1:7">
      <c r="A80" s="52"/>
      <c r="B80" s="144"/>
      <c r="C80" s="142"/>
      <c r="D80" s="142"/>
      <c r="E80" s="142"/>
    </row>
    <row r="81" spans="1:8">
      <c r="A81" s="343"/>
      <c r="B81" s="344"/>
      <c r="C81" s="260"/>
      <c r="D81" s="260"/>
      <c r="E81" s="260"/>
      <c r="F81" s="260"/>
    </row>
    <row r="82" spans="1:8" ht="69.75" customHeight="1">
      <c r="A82" s="345"/>
      <c r="B82" s="346"/>
      <c r="C82" s="256" t="str">
        <f>C2</f>
        <v>1-A DAA,     Grand National Rodeo &amp; Show</v>
      </c>
      <c r="D82" s="256" t="str">
        <f>D2</f>
        <v>15th DAA,        Kern County Fair</v>
      </c>
      <c r="E82" s="256" t="str">
        <f>E2</f>
        <v>50th DAA, Antelope Valley Fair*</v>
      </c>
      <c r="F82" s="256" t="str">
        <f>F2</f>
        <v>San Mateo County Fair</v>
      </c>
    </row>
    <row r="83" spans="1:8" ht="13.5" customHeight="1">
      <c r="A83" s="262" t="s">
        <v>89</v>
      </c>
      <c r="B83" s="29"/>
      <c r="C83" s="55"/>
      <c r="D83" s="55"/>
      <c r="E83" s="55"/>
      <c r="F83" s="55"/>
    </row>
    <row r="84" spans="1:8" ht="13.5" customHeight="1">
      <c r="A84" s="262" t="s">
        <v>90</v>
      </c>
      <c r="B84" s="29"/>
      <c r="C84" s="55"/>
      <c r="D84" s="55"/>
      <c r="E84" s="55"/>
      <c r="F84" s="55"/>
    </row>
    <row r="85" spans="1:8" ht="13.5" customHeight="1">
      <c r="A85" s="267"/>
      <c r="B85" s="29" t="s">
        <v>91</v>
      </c>
      <c r="C85" s="19"/>
      <c r="D85" s="19"/>
      <c r="E85" s="19"/>
      <c r="F85" s="19"/>
    </row>
    <row r="86" spans="1:8" ht="13.5" customHeight="1">
      <c r="A86" s="267"/>
      <c r="B86" s="29" t="s">
        <v>92</v>
      </c>
      <c r="C86" s="15">
        <v>0</v>
      </c>
      <c r="D86" s="15">
        <v>0</v>
      </c>
      <c r="E86" s="15">
        <v>0</v>
      </c>
      <c r="F86" s="15">
        <v>3391667</v>
      </c>
      <c r="H86" s="56">
        <f t="shared" ref="H86:H96" si="9">SUM(C86:E86)</f>
        <v>0</v>
      </c>
    </row>
    <row r="87" spans="1:8" ht="13.5" customHeight="1">
      <c r="A87" s="267"/>
      <c r="B87" s="29" t="s">
        <v>93</v>
      </c>
      <c r="C87" s="19">
        <v>3949693.42</v>
      </c>
      <c r="D87" s="19">
        <v>1105020</v>
      </c>
      <c r="E87" s="19">
        <v>5143</v>
      </c>
      <c r="F87" s="19">
        <v>4231369</v>
      </c>
      <c r="H87" s="56">
        <f t="shared" si="9"/>
        <v>5059856.42</v>
      </c>
    </row>
    <row r="88" spans="1:8" ht="13.5" customHeight="1">
      <c r="A88" s="267"/>
      <c r="B88" s="29" t="s">
        <v>94</v>
      </c>
      <c r="C88" s="19">
        <v>74206.960000000006</v>
      </c>
      <c r="D88" s="19">
        <v>59073</v>
      </c>
      <c r="E88" s="19">
        <v>2</v>
      </c>
      <c r="F88" s="19">
        <v>507765</v>
      </c>
      <c r="H88" s="56">
        <f t="shared" si="9"/>
        <v>133281.96000000002</v>
      </c>
    </row>
    <row r="89" spans="1:8" ht="13.5" customHeight="1">
      <c r="A89" s="267"/>
      <c r="B89" s="29" t="s">
        <v>95</v>
      </c>
      <c r="C89" s="19">
        <v>5607</v>
      </c>
      <c r="D89" s="19">
        <v>0</v>
      </c>
      <c r="E89" s="19">
        <v>0</v>
      </c>
      <c r="F89" s="19">
        <v>108374</v>
      </c>
      <c r="H89" s="56">
        <f t="shared" si="9"/>
        <v>5607</v>
      </c>
    </row>
    <row r="90" spans="1:8" ht="13.5" customHeight="1">
      <c r="A90" s="267"/>
      <c r="B90" s="29" t="s">
        <v>96</v>
      </c>
      <c r="C90" s="19">
        <v>0</v>
      </c>
      <c r="D90" s="19">
        <v>0</v>
      </c>
      <c r="E90" s="19">
        <v>196829</v>
      </c>
      <c r="F90" s="19">
        <v>81703</v>
      </c>
      <c r="H90" s="56">
        <f t="shared" si="9"/>
        <v>196829</v>
      </c>
    </row>
    <row r="91" spans="1:8" ht="13.5" customHeight="1">
      <c r="A91" s="267"/>
      <c r="B91" s="121" t="s">
        <v>97</v>
      </c>
      <c r="C91" s="19">
        <v>0</v>
      </c>
      <c r="D91" s="19">
        <v>209760</v>
      </c>
      <c r="E91" s="19">
        <v>0</v>
      </c>
      <c r="F91" s="19">
        <v>341365</v>
      </c>
      <c r="H91" s="10">
        <f t="shared" si="9"/>
        <v>209760</v>
      </c>
    </row>
    <row r="92" spans="1:8" ht="13.5" customHeight="1">
      <c r="A92" s="267"/>
      <c r="B92" s="29" t="s">
        <v>98</v>
      </c>
      <c r="C92" s="19">
        <v>145397.37</v>
      </c>
      <c r="D92" s="19">
        <v>0</v>
      </c>
      <c r="E92" s="19">
        <v>6245129</v>
      </c>
      <c r="F92" s="19">
        <v>0</v>
      </c>
      <c r="H92" s="10">
        <f t="shared" si="9"/>
        <v>6390526.3700000001</v>
      </c>
    </row>
    <row r="93" spans="1:8" ht="13.5" customHeight="1">
      <c r="A93" s="267"/>
      <c r="B93" s="29" t="s">
        <v>99</v>
      </c>
      <c r="C93" s="19">
        <v>13855982.949999999</v>
      </c>
      <c r="D93" s="19">
        <v>0</v>
      </c>
      <c r="E93" s="19">
        <v>26508212</v>
      </c>
      <c r="F93" s="19">
        <v>0</v>
      </c>
      <c r="H93" s="10">
        <f t="shared" si="9"/>
        <v>40364194.950000003</v>
      </c>
    </row>
    <row r="94" spans="1:8" ht="13.5" customHeight="1">
      <c r="A94" s="267"/>
      <c r="B94" s="29" t="s">
        <v>100</v>
      </c>
      <c r="C94" s="19">
        <v>1713167.08</v>
      </c>
      <c r="D94" s="19">
        <v>894238</v>
      </c>
      <c r="E94" s="19">
        <v>1917418</v>
      </c>
      <c r="F94" s="19">
        <v>2771017</v>
      </c>
      <c r="H94" s="10">
        <f t="shared" si="9"/>
        <v>4524823.08</v>
      </c>
    </row>
    <row r="95" spans="1:8" ht="13.5" customHeight="1">
      <c r="A95" s="267"/>
      <c r="B95" s="29" t="s">
        <v>101</v>
      </c>
      <c r="C95" s="19">
        <v>0</v>
      </c>
      <c r="D95" s="19">
        <v>8786547</v>
      </c>
      <c r="E95" s="19">
        <v>4736497</v>
      </c>
      <c r="F95" s="19">
        <v>6722540</v>
      </c>
      <c r="H95" s="10">
        <f t="shared" si="9"/>
        <v>13523044</v>
      </c>
    </row>
    <row r="96" spans="1:8" ht="13.5" customHeight="1">
      <c r="A96" s="267"/>
      <c r="B96" s="29" t="s">
        <v>182</v>
      </c>
      <c r="C96" s="19">
        <v>0</v>
      </c>
      <c r="D96" s="19">
        <v>0</v>
      </c>
      <c r="E96" s="19">
        <v>0</v>
      </c>
      <c r="F96" s="19">
        <v>0</v>
      </c>
      <c r="H96" s="10">
        <f t="shared" si="9"/>
        <v>0</v>
      </c>
    </row>
    <row r="97" spans="1:8" ht="13.5" customHeight="1">
      <c r="A97" s="267"/>
      <c r="B97" s="29" t="s">
        <v>102</v>
      </c>
      <c r="C97" s="19">
        <f>-12146625.42-1678142.14</f>
        <v>-13824767.560000001</v>
      </c>
      <c r="D97" s="19">
        <f>-709834-6587258</f>
        <v>-7297092</v>
      </c>
      <c r="E97" s="19">
        <f>-12193885-1857139-1734386</f>
        <v>-15785410</v>
      </c>
      <c r="F97" s="19">
        <f>-2499350-5294607</f>
        <v>-7793957</v>
      </c>
      <c r="H97" s="20">
        <f>SUM(C91:E97)</f>
        <v>28105078.839999996</v>
      </c>
    </row>
    <row r="98" spans="1:8" ht="13.5" customHeight="1">
      <c r="A98" s="267"/>
      <c r="B98" s="29" t="s">
        <v>103</v>
      </c>
      <c r="C98" s="19">
        <v>0</v>
      </c>
      <c r="D98" s="19">
        <v>0</v>
      </c>
      <c r="E98" s="19">
        <v>0</v>
      </c>
      <c r="F98" s="19">
        <v>0</v>
      </c>
    </row>
    <row r="99" spans="1:8" s="22" customFormat="1" ht="13.5" customHeight="1">
      <c r="A99" s="250" t="s">
        <v>104</v>
      </c>
      <c r="B99" s="23"/>
      <c r="C99" s="24">
        <f>SUM(C85:C98)</f>
        <v>5919287.2200000007</v>
      </c>
      <c r="D99" s="24">
        <f t="shared" ref="D99:F99" si="10">SUM(D85:D98)</f>
        <v>3757546</v>
      </c>
      <c r="E99" s="24">
        <f t="shared" si="10"/>
        <v>23823820</v>
      </c>
      <c r="F99" s="24">
        <f t="shared" si="10"/>
        <v>10361843</v>
      </c>
      <c r="H99" s="197">
        <f>SUM(C99:E99)</f>
        <v>33500653.219999999</v>
      </c>
    </row>
    <row r="100" spans="1:8" s="22" customFormat="1" ht="13.5" customHeight="1">
      <c r="A100" s="250" t="s">
        <v>205</v>
      </c>
      <c r="B100" s="23"/>
      <c r="C100" s="24">
        <v>450217.63</v>
      </c>
      <c r="D100" s="24">
        <v>1209469</v>
      </c>
      <c r="E100" s="24">
        <v>550184</v>
      </c>
      <c r="F100" s="24">
        <v>0</v>
      </c>
      <c r="H100" s="197">
        <f>SUM(C100:E100)</f>
        <v>2209870.63</v>
      </c>
    </row>
    <row r="101" spans="1:8" s="45" customFormat="1" ht="13.5" customHeight="1">
      <c r="A101" s="272" t="s">
        <v>202</v>
      </c>
      <c r="B101" s="195"/>
      <c r="C101" s="196">
        <f>+C99+C100</f>
        <v>6369504.8500000006</v>
      </c>
      <c r="D101" s="196">
        <f t="shared" ref="D101:F101" si="11">+D99+D100</f>
        <v>4967015</v>
      </c>
      <c r="E101" s="196">
        <f t="shared" si="11"/>
        <v>24374004</v>
      </c>
      <c r="F101" s="196">
        <f t="shared" si="11"/>
        <v>10361843</v>
      </c>
      <c r="H101" s="197">
        <f>SUM(C101:E101)</f>
        <v>35710523.850000001</v>
      </c>
    </row>
    <row r="102" spans="1:8" ht="13.5" customHeight="1">
      <c r="A102" s="262" t="s">
        <v>203</v>
      </c>
      <c r="B102" s="29"/>
      <c r="C102" s="53"/>
      <c r="D102" s="55"/>
      <c r="E102" s="55"/>
      <c r="F102" s="55"/>
    </row>
    <row r="103" spans="1:8" ht="13.5" customHeight="1">
      <c r="A103" s="267"/>
      <c r="B103" s="29" t="s">
        <v>105</v>
      </c>
      <c r="C103" s="18">
        <v>494508.09</v>
      </c>
      <c r="D103" s="182">
        <v>1539.5</v>
      </c>
      <c r="E103" s="19">
        <v>0</v>
      </c>
      <c r="F103" s="287">
        <v>0</v>
      </c>
      <c r="H103" s="56">
        <f t="shared" ref="H103:H124" si="12">SUM(C103:E103)</f>
        <v>496047.59</v>
      </c>
    </row>
    <row r="104" spans="1:8" ht="13.5" customHeight="1">
      <c r="A104" s="267"/>
      <c r="B104" s="29" t="s">
        <v>106</v>
      </c>
      <c r="C104" s="18">
        <v>66786.209999999992</v>
      </c>
      <c r="D104" s="19">
        <v>294622.25</v>
      </c>
      <c r="E104" s="19">
        <v>0</v>
      </c>
      <c r="F104" s="287">
        <v>259643</v>
      </c>
      <c r="H104" s="56">
        <f t="shared" si="12"/>
        <v>361408.45999999996</v>
      </c>
    </row>
    <row r="105" spans="1:8" ht="13.5" customHeight="1">
      <c r="A105" s="267"/>
      <c r="B105" s="29" t="s">
        <v>107</v>
      </c>
      <c r="C105" s="18">
        <v>211547.61</v>
      </c>
      <c r="D105" s="19">
        <v>138118.32</v>
      </c>
      <c r="E105" s="19">
        <v>0</v>
      </c>
      <c r="F105" s="19">
        <v>118918</v>
      </c>
      <c r="H105" s="56">
        <f t="shared" si="12"/>
        <v>349665.93</v>
      </c>
    </row>
    <row r="106" spans="1:8" ht="13.5" customHeight="1">
      <c r="A106" s="267"/>
      <c r="B106" s="29" t="s">
        <v>108</v>
      </c>
      <c r="C106" s="18">
        <v>8402</v>
      </c>
      <c r="D106" s="19">
        <v>53763</v>
      </c>
      <c r="E106" s="19">
        <v>0</v>
      </c>
      <c r="F106" s="19">
        <v>123359</v>
      </c>
      <c r="H106" s="56">
        <f t="shared" si="12"/>
        <v>62165</v>
      </c>
    </row>
    <row r="107" spans="1:8" ht="13.5" customHeight="1">
      <c r="A107" s="267"/>
      <c r="B107" s="29" t="s">
        <v>109</v>
      </c>
      <c r="C107" s="18">
        <v>0</v>
      </c>
      <c r="D107" s="19">
        <v>26.3</v>
      </c>
      <c r="E107" s="19">
        <v>6614</v>
      </c>
      <c r="F107" s="19">
        <v>114916</v>
      </c>
      <c r="H107" s="56">
        <f t="shared" si="12"/>
        <v>6640.3</v>
      </c>
    </row>
    <row r="108" spans="1:8" ht="13.5" customHeight="1">
      <c r="A108" s="267"/>
      <c r="B108" s="29" t="s">
        <v>110</v>
      </c>
      <c r="C108" s="18">
        <v>129816.96000000001</v>
      </c>
      <c r="D108" s="19"/>
      <c r="E108" s="19">
        <v>0</v>
      </c>
      <c r="F108" s="19">
        <v>3352639</v>
      </c>
      <c r="H108" s="56">
        <f t="shared" si="12"/>
        <v>129816.96000000001</v>
      </c>
    </row>
    <row r="109" spans="1:8" ht="13.5" customHeight="1">
      <c r="A109" s="267"/>
      <c r="B109" s="29" t="s">
        <v>111</v>
      </c>
      <c r="C109" s="18">
        <v>0</v>
      </c>
      <c r="D109" s="19">
        <v>477502.46</v>
      </c>
      <c r="E109" s="19">
        <v>0</v>
      </c>
      <c r="F109" s="19">
        <v>355050</v>
      </c>
      <c r="H109" s="56">
        <f t="shared" si="12"/>
        <v>477502.46</v>
      </c>
    </row>
    <row r="110" spans="1:8" ht="13.5" customHeight="1">
      <c r="A110" s="267"/>
      <c r="B110" s="29" t="s">
        <v>112</v>
      </c>
      <c r="C110" s="18">
        <v>0</v>
      </c>
      <c r="D110" s="19">
        <v>139372.4</v>
      </c>
      <c r="E110" s="19">
        <v>1278758</v>
      </c>
      <c r="F110" s="19">
        <v>0</v>
      </c>
      <c r="H110" s="56">
        <f t="shared" si="12"/>
        <v>1418130.4</v>
      </c>
    </row>
    <row r="111" spans="1:8" ht="13.5" customHeight="1">
      <c r="A111" s="267"/>
      <c r="B111" s="29" t="s">
        <v>208</v>
      </c>
      <c r="C111" s="18">
        <v>1586897.47</v>
      </c>
      <c r="D111" s="19">
        <v>4146676.76</v>
      </c>
      <c r="E111" s="19">
        <v>1941939</v>
      </c>
      <c r="F111" s="19">
        <v>0</v>
      </c>
      <c r="H111" s="56">
        <f t="shared" si="12"/>
        <v>7675513.2299999995</v>
      </c>
    </row>
    <row r="112" spans="1:8" ht="13.5" customHeight="1">
      <c r="A112" s="267"/>
      <c r="B112" s="29" t="s">
        <v>238</v>
      </c>
      <c r="C112" s="18"/>
      <c r="D112" s="19"/>
      <c r="E112" s="19">
        <v>0</v>
      </c>
      <c r="F112" s="19"/>
      <c r="H112" s="56">
        <f t="shared" si="12"/>
        <v>0</v>
      </c>
    </row>
    <row r="113" spans="1:8" s="22" customFormat="1" ht="13.5" customHeight="1">
      <c r="A113" s="250" t="s">
        <v>207</v>
      </c>
      <c r="B113" s="23"/>
      <c r="C113" s="24">
        <f>SUM(C103:C112)</f>
        <v>2497958.34</v>
      </c>
      <c r="D113" s="24">
        <f t="shared" ref="D113:F113" si="13">SUM(D103:D112)</f>
        <v>5251620.99</v>
      </c>
      <c r="E113" s="24">
        <f t="shared" si="13"/>
        <v>3227311</v>
      </c>
      <c r="F113" s="24">
        <f t="shared" si="13"/>
        <v>4324525</v>
      </c>
      <c r="H113" s="197">
        <f>SUM(C113:E113)</f>
        <v>10976890.33</v>
      </c>
    </row>
    <row r="114" spans="1:8" s="22" customFormat="1" ht="13.5" customHeight="1">
      <c r="A114" s="250" t="s">
        <v>206</v>
      </c>
      <c r="B114" s="23"/>
      <c r="C114" s="24">
        <v>14809.89</v>
      </c>
      <c r="D114" s="24">
        <v>38699.199999999997</v>
      </c>
      <c r="E114" s="24">
        <v>18123</v>
      </c>
      <c r="F114" s="24">
        <v>0</v>
      </c>
      <c r="H114" s="197">
        <f>SUM(C114:E114)</f>
        <v>71632.09</v>
      </c>
    </row>
    <row r="115" spans="1:8" s="45" customFormat="1" ht="13.5" customHeight="1">
      <c r="A115" s="272" t="s">
        <v>204</v>
      </c>
      <c r="B115" s="195"/>
      <c r="C115" s="196">
        <f>+C113+C114</f>
        <v>2512768.23</v>
      </c>
      <c r="D115" s="196">
        <f t="shared" ref="D115:F115" si="14">+D113+D114</f>
        <v>5290320.1900000004</v>
      </c>
      <c r="E115" s="196">
        <f t="shared" si="14"/>
        <v>3245434</v>
      </c>
      <c r="F115" s="196">
        <f t="shared" si="14"/>
        <v>4324525</v>
      </c>
      <c r="H115" s="197">
        <f t="shared" si="12"/>
        <v>11048522.42</v>
      </c>
    </row>
    <row r="116" spans="1:8" ht="13.5" customHeight="1">
      <c r="A116" s="262" t="s">
        <v>113</v>
      </c>
      <c r="B116" s="29"/>
      <c r="C116" s="53"/>
      <c r="D116" s="55"/>
      <c r="E116" s="55"/>
      <c r="F116" s="55"/>
      <c r="H116" s="56">
        <f t="shared" si="12"/>
        <v>0</v>
      </c>
    </row>
    <row r="117" spans="1:8" ht="13.5" customHeight="1">
      <c r="A117" s="267"/>
      <c r="B117" s="29" t="s">
        <v>114</v>
      </c>
      <c r="C117" s="18">
        <v>0</v>
      </c>
      <c r="D117" s="19">
        <v>-37230.200000000019</v>
      </c>
      <c r="E117" s="19">
        <v>0</v>
      </c>
      <c r="F117" s="19">
        <v>40722</v>
      </c>
      <c r="H117" s="56">
        <f t="shared" si="12"/>
        <v>-37230.200000000019</v>
      </c>
    </row>
    <row r="118" spans="1:8" ht="13.5" customHeight="1">
      <c r="A118" s="267"/>
      <c r="B118" s="29" t="s">
        <v>40</v>
      </c>
      <c r="C118" s="18">
        <f t="shared" ref="C118:D121" si="15">C64</f>
        <v>3118446</v>
      </c>
      <c r="D118" s="18">
        <f t="shared" si="15"/>
        <v>96379.21</v>
      </c>
      <c r="E118" s="18">
        <f t="shared" ref="E118" si="16">E64</f>
        <v>-137206</v>
      </c>
      <c r="F118" s="18">
        <f>F64</f>
        <v>3955631</v>
      </c>
      <c r="H118" s="56">
        <f t="shared" si="12"/>
        <v>3077619.21</v>
      </c>
    </row>
    <row r="119" spans="1:8" ht="13.5" customHeight="1">
      <c r="A119" s="267"/>
      <c r="B119" s="29" t="s">
        <v>234</v>
      </c>
      <c r="C119" s="18">
        <f t="shared" si="15"/>
        <v>-1151489.73</v>
      </c>
      <c r="D119" s="18">
        <f t="shared" si="15"/>
        <v>-2975906.54</v>
      </c>
      <c r="E119" s="18">
        <f t="shared" ref="E119" si="17">E65</f>
        <v>-1409878</v>
      </c>
      <c r="F119" s="18">
        <f>F65</f>
        <v>0</v>
      </c>
      <c r="H119" s="56">
        <f t="shared" si="12"/>
        <v>-5537274.2699999996</v>
      </c>
    </row>
    <row r="120" spans="1:8" ht="13.5" customHeight="1">
      <c r="A120" s="267"/>
      <c r="B120" s="29" t="s">
        <v>41</v>
      </c>
      <c r="C120" s="18">
        <f t="shared" si="15"/>
        <v>0</v>
      </c>
      <c r="D120" s="18">
        <f t="shared" si="15"/>
        <v>0</v>
      </c>
      <c r="E120" s="18">
        <f t="shared" ref="E120" si="18">E66</f>
        <v>0</v>
      </c>
      <c r="F120" s="18">
        <f>F66</f>
        <v>0</v>
      </c>
      <c r="H120" s="56">
        <f t="shared" si="12"/>
        <v>0</v>
      </c>
    </row>
    <row r="121" spans="1:8" ht="13.5" customHeight="1">
      <c r="A121" s="267"/>
      <c r="B121" s="29" t="s">
        <v>115</v>
      </c>
      <c r="C121" s="18">
        <f t="shared" si="15"/>
        <v>1889779.9200000018</v>
      </c>
      <c r="D121" s="18">
        <f t="shared" si="15"/>
        <v>2593452.8900000015</v>
      </c>
      <c r="E121" s="18">
        <f t="shared" ref="E121" si="19">E67</f>
        <v>22675652</v>
      </c>
      <c r="F121" s="18">
        <f>F67</f>
        <v>2040965</v>
      </c>
      <c r="H121" s="56">
        <f t="shared" si="12"/>
        <v>27158884.810000002</v>
      </c>
    </row>
    <row r="122" spans="1:8" ht="13.5" customHeight="1">
      <c r="A122" s="273"/>
      <c r="B122" s="60" t="s">
        <v>103</v>
      </c>
      <c r="C122" s="61">
        <v>0</v>
      </c>
      <c r="D122" s="63">
        <v>0</v>
      </c>
      <c r="E122" s="63">
        <v>0</v>
      </c>
      <c r="F122" s="19">
        <v>0</v>
      </c>
      <c r="H122" s="56">
        <f t="shared" si="12"/>
        <v>0</v>
      </c>
    </row>
    <row r="123" spans="1:8" s="22" customFormat="1" ht="13.5" customHeight="1">
      <c r="A123" s="250" t="s">
        <v>43</v>
      </c>
      <c r="B123" s="64"/>
      <c r="C123" s="65">
        <f t="shared" ref="C123:F123" si="20">SUM(C117:C122)</f>
        <v>3856736.1900000018</v>
      </c>
      <c r="D123" s="65">
        <f t="shared" si="20"/>
        <v>-323304.63999999873</v>
      </c>
      <c r="E123" s="65">
        <f t="shared" si="20"/>
        <v>21128568</v>
      </c>
      <c r="F123" s="65">
        <f t="shared" si="20"/>
        <v>6037318</v>
      </c>
      <c r="H123" s="58">
        <f t="shared" si="12"/>
        <v>24661999.550000004</v>
      </c>
    </row>
    <row r="124" spans="1:8" s="45" customFormat="1">
      <c r="A124" s="272" t="s">
        <v>209</v>
      </c>
      <c r="B124" s="195"/>
      <c r="C124" s="196">
        <f t="shared" ref="C124:F124" si="21">SUM(C115:C122)</f>
        <v>6369504.4200000018</v>
      </c>
      <c r="D124" s="196">
        <f t="shared" si="21"/>
        <v>4967015.5500000017</v>
      </c>
      <c r="E124" s="196">
        <f t="shared" si="21"/>
        <v>24374002</v>
      </c>
      <c r="F124" s="196">
        <f t="shared" si="21"/>
        <v>10361843</v>
      </c>
      <c r="H124" s="197">
        <f t="shared" si="12"/>
        <v>35710521.969999999</v>
      </c>
    </row>
    <row r="125" spans="1:8">
      <c r="A125" s="68"/>
      <c r="B125" s="59" t="s">
        <v>85</v>
      </c>
      <c r="C125" s="123">
        <f>+C124-C101</f>
        <v>-0.4299999987706542</v>
      </c>
      <c r="D125" s="123">
        <f>+D124-D101</f>
        <v>0.55000000167638063</v>
      </c>
      <c r="E125" s="123">
        <f>+E124-E101</f>
        <v>-2</v>
      </c>
      <c r="F125" s="123">
        <f>+F124-F101</f>
        <v>0</v>
      </c>
    </row>
    <row r="126" spans="1:8">
      <c r="A126" s="68"/>
      <c r="B126" s="90"/>
      <c r="C126" s="91"/>
      <c r="D126" s="92"/>
      <c r="E126" s="92"/>
      <c r="F126" s="191"/>
    </row>
    <row r="127" spans="1:8" ht="39" customHeight="1">
      <c r="A127" s="333" t="s">
        <v>116</v>
      </c>
      <c r="B127" s="334"/>
      <c r="C127" s="338">
        <f>C57/(C32)</f>
        <v>0.26000036121911851</v>
      </c>
      <c r="D127" s="338">
        <f>D57/(D32)</f>
        <v>8.3424822562139234E-2</v>
      </c>
      <c r="E127" s="338">
        <f>E57/(E32)</f>
        <v>2.6191629297458894</v>
      </c>
      <c r="F127" s="338">
        <f>F57/(F32)</f>
        <v>0.12582940852302332</v>
      </c>
    </row>
    <row r="128" spans="1:8" ht="24">
      <c r="A128" s="241"/>
      <c r="B128" s="242" t="s">
        <v>117</v>
      </c>
      <c r="C128" s="338"/>
      <c r="D128" s="338"/>
      <c r="E128" s="338"/>
      <c r="F128" s="338"/>
    </row>
    <row r="129" spans="1:7" ht="14.25">
      <c r="A129" s="243" t="s">
        <v>190</v>
      </c>
      <c r="B129" s="244"/>
      <c r="C129" s="339">
        <f>(SUM(C87:C88))/SUM(C103:C108)</f>
        <v>4.4167195765964573</v>
      </c>
      <c r="D129" s="339">
        <f>(SUM(D87:D88))/SUM(D103:D108)</f>
        <v>2.3850974299001799</v>
      </c>
      <c r="E129" s="339">
        <f>(SUM(E87:E88))/SUM(E103:E108)</f>
        <v>0.77789537345025705</v>
      </c>
      <c r="F129" s="339">
        <f>(SUM(F87:F88))/SUM(F103:F108)</f>
        <v>1.1938944066910611</v>
      </c>
    </row>
    <row r="130" spans="1:7" ht="36">
      <c r="A130" s="245"/>
      <c r="B130" s="246" t="s">
        <v>191</v>
      </c>
      <c r="C130" s="340"/>
      <c r="D130" s="340"/>
      <c r="E130" s="340"/>
      <c r="F130" s="340"/>
    </row>
    <row r="131" spans="1:7" ht="14.25">
      <c r="A131" s="243" t="s">
        <v>192</v>
      </c>
      <c r="B131" s="244"/>
      <c r="C131" s="339">
        <f>(SUM(C87:C88))/SUM(C103:C109)</f>
        <v>4.4167195765964573</v>
      </c>
      <c r="D131" s="339">
        <f>(SUM(D87:D88))/SUM(D103:D109)</f>
        <v>1.2055995875521761</v>
      </c>
      <c r="E131" s="339">
        <f>(SUM(E87:E88))/SUM(E103:E109)</f>
        <v>0.77789537345025705</v>
      </c>
      <c r="F131" s="339">
        <f>(SUM(F87:F88))/SUM(F103:F109)</f>
        <v>1.0958738821026586</v>
      </c>
    </row>
    <row r="132" spans="1:7" ht="24">
      <c r="A132" s="245"/>
      <c r="B132" s="246" t="s">
        <v>193</v>
      </c>
      <c r="C132" s="340"/>
      <c r="D132" s="340"/>
      <c r="E132" s="340"/>
      <c r="F132" s="340"/>
    </row>
    <row r="133" spans="1:7" s="151" customFormat="1" ht="8.1" customHeight="1">
      <c r="A133" s="152"/>
      <c r="B133" s="153"/>
      <c r="C133" s="154"/>
      <c r="D133" s="154"/>
      <c r="E133" s="154"/>
      <c r="F133" s="155"/>
    </row>
    <row r="134" spans="1:7">
      <c r="A134" s="248" t="s">
        <v>118</v>
      </c>
      <c r="B134" s="64"/>
      <c r="C134" s="337">
        <f>C115/C101</f>
        <v>0.39449977497073413</v>
      </c>
      <c r="D134" s="337">
        <f>D115/D101</f>
        <v>1.0650904396302407</v>
      </c>
      <c r="E134" s="337">
        <f>E115/E101</f>
        <v>0.1331514510295477</v>
      </c>
      <c r="F134" s="337">
        <f>F115/F101</f>
        <v>0.41735094808906098</v>
      </c>
    </row>
    <row r="135" spans="1:7" ht="25.5">
      <c r="A135" s="241"/>
      <c r="B135" s="247" t="s">
        <v>119</v>
      </c>
      <c r="C135" s="337"/>
      <c r="D135" s="337"/>
      <c r="E135" s="337"/>
      <c r="F135" s="337"/>
    </row>
    <row r="136" spans="1:7">
      <c r="A136" s="248" t="s">
        <v>120</v>
      </c>
      <c r="B136" s="249"/>
      <c r="C136" s="337">
        <f>C123/C101</f>
        <v>0.60550015752009378</v>
      </c>
      <c r="D136" s="337">
        <f>D123/D101</f>
        <v>-6.5090328899751401E-2</v>
      </c>
      <c r="E136" s="337">
        <f>E123/E101</f>
        <v>0.86684846691581741</v>
      </c>
      <c r="F136" s="337">
        <f>F123/F101</f>
        <v>0.58264905191093896</v>
      </c>
    </row>
    <row r="137" spans="1:7" ht="24">
      <c r="A137" s="241"/>
      <c r="B137" s="242" t="s">
        <v>121</v>
      </c>
      <c r="C137" s="337"/>
      <c r="D137" s="337"/>
      <c r="E137" s="337"/>
      <c r="F137" s="337"/>
    </row>
    <row r="138" spans="1:7">
      <c r="A138" s="335" t="s">
        <v>122</v>
      </c>
      <c r="B138" s="336"/>
      <c r="C138" s="337">
        <f>C115/C123</f>
        <v>0.65152712195230522</v>
      </c>
      <c r="D138" s="337">
        <f>D115/D123</f>
        <v>-16.363267134056663</v>
      </c>
      <c r="E138" s="337">
        <f>E115/E123</f>
        <v>0.15360406819809086</v>
      </c>
      <c r="F138" s="337">
        <f>F115/F123</f>
        <v>0.71629902549443314</v>
      </c>
    </row>
    <row r="139" spans="1:7">
      <c r="A139" s="241"/>
      <c r="B139" s="242" t="s">
        <v>123</v>
      </c>
      <c r="C139" s="337"/>
      <c r="D139" s="337"/>
      <c r="E139" s="337"/>
      <c r="F139" s="337"/>
    </row>
    <row r="140" spans="1:7" s="151" customFormat="1" ht="8.1" customHeight="1">
      <c r="A140" s="156"/>
      <c r="B140" s="157"/>
      <c r="C140" s="157"/>
      <c r="D140" s="157"/>
      <c r="E140" s="157"/>
      <c r="F140" s="163"/>
    </row>
    <row r="141" spans="1:7">
      <c r="A141" s="250" t="s">
        <v>124</v>
      </c>
      <c r="B141" s="23"/>
      <c r="C141" s="70">
        <v>7</v>
      </c>
      <c r="D141" s="70">
        <v>27</v>
      </c>
      <c r="E141" s="70">
        <v>0</v>
      </c>
      <c r="F141" s="70">
        <v>64</v>
      </c>
      <c r="G141" s="85">
        <f>AVERAGE(C141:F141)</f>
        <v>24.5</v>
      </c>
    </row>
    <row r="142" spans="1:7" s="151" customFormat="1" ht="8.1" customHeight="1">
      <c r="A142" s="162"/>
      <c r="B142" s="157"/>
      <c r="C142" s="157"/>
      <c r="D142" s="157"/>
      <c r="E142" s="157"/>
      <c r="F142" s="163"/>
      <c r="G142" s="167"/>
    </row>
    <row r="143" spans="1:7">
      <c r="A143" s="252" t="s">
        <v>125</v>
      </c>
      <c r="B143" s="252"/>
      <c r="C143" s="164">
        <v>14790</v>
      </c>
      <c r="D143" s="164">
        <v>198626</v>
      </c>
      <c r="E143" s="302" t="s">
        <v>223</v>
      </c>
      <c r="F143" s="164">
        <v>67416</v>
      </c>
      <c r="G143" s="34">
        <f>AVERAGE(C143:F143)</f>
        <v>93610.666666666672</v>
      </c>
    </row>
    <row r="144" spans="1:7">
      <c r="A144" s="251" t="s">
        <v>126</v>
      </c>
      <c r="B144" s="251"/>
      <c r="C144" s="164">
        <v>3157</v>
      </c>
      <c r="D144" s="164">
        <v>118895</v>
      </c>
      <c r="E144" s="302" t="s">
        <v>223</v>
      </c>
      <c r="F144" s="164">
        <v>43315</v>
      </c>
      <c r="G144" s="34">
        <f>AVERAGE(C144:F144)</f>
        <v>55122.333333333336</v>
      </c>
    </row>
    <row r="145" spans="1:7">
      <c r="A145" s="251" t="s">
        <v>127</v>
      </c>
      <c r="B145" s="251"/>
      <c r="C145" s="164">
        <v>17947</v>
      </c>
      <c r="D145" s="164">
        <v>317521</v>
      </c>
      <c r="E145" s="302" t="s">
        <v>223</v>
      </c>
      <c r="F145" s="164">
        <v>110731</v>
      </c>
      <c r="G145" s="34">
        <f>AVERAGE(C145:F145)</f>
        <v>148733</v>
      </c>
    </row>
    <row r="146" spans="1:7">
      <c r="A146" s="10" t="s">
        <v>177</v>
      </c>
    </row>
    <row r="148" spans="1:7" s="48" customFormat="1">
      <c r="A148" s="192"/>
      <c r="B148" s="52"/>
      <c r="C148" s="142"/>
      <c r="D148" s="142"/>
      <c r="E148" s="142"/>
    </row>
    <row r="149" spans="1:7" s="48" customFormat="1">
      <c r="A149" s="192"/>
      <c r="B149" s="52"/>
      <c r="C149" s="143"/>
      <c r="D149" s="143"/>
      <c r="E149" s="143"/>
    </row>
  </sheetData>
  <mergeCells count="32">
    <mergeCell ref="F138:F139"/>
    <mergeCell ref="F131:F132"/>
    <mergeCell ref="D134:D135"/>
    <mergeCell ref="E134:E135"/>
    <mergeCell ref="F134:F135"/>
    <mergeCell ref="D136:D137"/>
    <mergeCell ref="E136:E137"/>
    <mergeCell ref="F136:F137"/>
    <mergeCell ref="F2:F3"/>
    <mergeCell ref="A127:B127"/>
    <mergeCell ref="A81:B82"/>
    <mergeCell ref="C127:C128"/>
    <mergeCell ref="C129:C130"/>
    <mergeCell ref="D127:D128"/>
    <mergeCell ref="E127:E128"/>
    <mergeCell ref="F127:F128"/>
    <mergeCell ref="D129:D130"/>
    <mergeCell ref="E129:E130"/>
    <mergeCell ref="F129:F130"/>
    <mergeCell ref="A138:B138"/>
    <mergeCell ref="A1:B3"/>
    <mergeCell ref="C2:C3"/>
    <mergeCell ref="D2:D3"/>
    <mergeCell ref="E2:E3"/>
    <mergeCell ref="C131:C132"/>
    <mergeCell ref="C134:C135"/>
    <mergeCell ref="C136:C137"/>
    <mergeCell ref="C138:C139"/>
    <mergeCell ref="D131:D132"/>
    <mergeCell ref="E131:E132"/>
    <mergeCell ref="D138:D139"/>
    <mergeCell ref="E138:E139"/>
  </mergeCells>
  <conditionalFormatting sqref="C127:D128">
    <cfRule type="cellIs" dxfId="15" priority="11" operator="lessThan">
      <formula>0</formula>
    </cfRule>
  </conditionalFormatting>
  <conditionalFormatting sqref="F127:F128">
    <cfRule type="cellIs" dxfId="14" priority="9" operator="lessThan">
      <formula>0</formula>
    </cfRule>
  </conditionalFormatting>
  <conditionalFormatting sqref="F69">
    <cfRule type="cellIs" dxfId="13" priority="8" operator="lessThan">
      <formula>0</formula>
    </cfRule>
  </conditionalFormatting>
  <conditionalFormatting sqref="C69">
    <cfRule type="cellIs" dxfId="12" priority="7" operator="lessThan">
      <formula>0</formula>
    </cfRule>
  </conditionalFormatting>
  <conditionalFormatting sqref="D69">
    <cfRule type="cellIs" dxfId="11" priority="6" operator="lessThan">
      <formula>0</formula>
    </cfRule>
  </conditionalFormatting>
  <conditionalFormatting sqref="E127:E128">
    <cfRule type="cellIs" dxfId="10" priority="3" operator="lessThan">
      <formula>0</formula>
    </cfRule>
  </conditionalFormatting>
  <conditionalFormatting sqref="E69">
    <cfRule type="cellIs" dxfId="9" priority="1" operator="lessThan">
      <formula>0</formula>
    </cfRule>
  </conditionalFormatting>
  <printOptions horizontalCentered="1"/>
  <pageMargins left="0.5" right="0.5" top="0.75" bottom="0.35" header="0.5" footer="0.15"/>
  <pageSetup scale="67" orientation="portrait" r:id="rId1"/>
  <headerFooter alignWithMargins="0">
    <oddHeader>&amp;C&amp;"Arial,Bold"&amp;12CLASS V FAIRS</oddHeader>
    <oddFooter>&amp;CFairs and Expositions</oddFooter>
  </headerFooter>
  <rowBreaks count="1" manualBreakCount="1">
    <brk id="80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SummaryStats</vt:lpstr>
      <vt:lpstr>Class Cover Page</vt:lpstr>
      <vt:lpstr>Class 1</vt:lpstr>
      <vt:lpstr>Class 2</vt:lpstr>
      <vt:lpstr>Class 3</vt:lpstr>
      <vt:lpstr>Class 3+</vt:lpstr>
      <vt:lpstr>Class 4</vt:lpstr>
      <vt:lpstr>Class 4+</vt:lpstr>
      <vt:lpstr>Class 5</vt:lpstr>
      <vt:lpstr>Class 6</vt:lpstr>
      <vt:lpstr>Class 7</vt:lpstr>
      <vt:lpstr>'Class 1'!Print_Area</vt:lpstr>
      <vt:lpstr>'Class 2'!Print_Area</vt:lpstr>
      <vt:lpstr>'Class 3'!Print_Area</vt:lpstr>
      <vt:lpstr>'Class 3+'!Print_Area</vt:lpstr>
      <vt:lpstr>'Class 4'!Print_Area</vt:lpstr>
      <vt:lpstr>'Class 4+'!Print_Area</vt:lpstr>
      <vt:lpstr>'Class 5'!Print_Area</vt:lpstr>
      <vt:lpstr>'Class 6'!Print_Area</vt:lpstr>
      <vt:lpstr>'Class 7'!Print_Area</vt:lpstr>
      <vt:lpstr>'Class Cover Page'!Print_Area</vt:lpstr>
      <vt:lpstr>SummaryStats!Print_Area</vt:lpstr>
      <vt:lpstr>'Class 1'!Print_Titles</vt:lpstr>
      <vt:lpstr>'Class 2'!Print_Titles</vt:lpstr>
      <vt:lpstr>'Class 3'!Print_Titles</vt:lpstr>
      <vt:lpstr>'Class 3+'!Print_Titles</vt:lpstr>
      <vt:lpstr>'Class 4'!Print_Titles</vt:lpstr>
      <vt:lpstr>'Class 4+'!Print_Titles</vt:lpstr>
      <vt:lpstr>'Class 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Joji Kume</dc:creator>
  <cp:lastModifiedBy>Kume, Joji@CDFA</cp:lastModifiedBy>
  <cp:lastPrinted>2018-09-19T22:25:43Z</cp:lastPrinted>
  <dcterms:created xsi:type="dcterms:W3CDTF">2016-11-16T19:39:59Z</dcterms:created>
  <dcterms:modified xsi:type="dcterms:W3CDTF">2020-07-16T21:00:22Z</dcterms:modified>
</cp:coreProperties>
</file>