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uben\OneDrive\Documenten\GitHub\AIM_Norwegian_Freight_Model\Data\"/>
    </mc:Choice>
  </mc:AlternateContent>
  <xr:revisionPtr revIDLastSave="0" documentId="13_ncr:1_{5A7FB073-8406-49CB-B33F-1F228E1AA327}" xr6:coauthVersionLast="47" xr6:coauthVersionMax="47" xr10:uidLastSave="{00000000-0000-0000-0000-000000000000}"/>
  <bookViews>
    <workbookView xWindow="-108" yWindow="-108" windowWidth="23256" windowHeight="12456" activeTab="1" xr2:uid="{5AE32870-AF16-462E-B631-817A89F76936}"/>
  </bookViews>
  <sheets>
    <sheet name="Costs" sheetId="1" r:id="rId1"/>
    <sheet name="Costs_recalculated" sheetId="18" r:id="rId2"/>
    <sheet name="transfer_costs" sheetId="9" r:id="rId3"/>
    <sheet name="raw_data" sheetId="10" r:id="rId4"/>
    <sheet name="base_costs" sheetId="11" r:id="rId5"/>
    <sheet name="base_costs_transposed" sheetId="17" r:id="rId6"/>
    <sheet name="vehicle_cap" sheetId="15" r:id="rId7"/>
    <sheet name="cost_factors" sheetId="16" r:id="rId8"/>
    <sheet name="assumptions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7" l="1"/>
  <c r="E20" i="17"/>
  <c r="F20" i="17"/>
  <c r="G20" i="17"/>
  <c r="H20" i="17"/>
  <c r="I20" i="17"/>
  <c r="D21" i="17"/>
  <c r="E21" i="17"/>
  <c r="F21" i="17"/>
  <c r="G21" i="17"/>
  <c r="H21" i="17"/>
  <c r="I21" i="17"/>
  <c r="D22" i="17"/>
  <c r="E22" i="17"/>
  <c r="F22" i="17"/>
  <c r="G22" i="17"/>
  <c r="H22" i="17"/>
  <c r="I22" i="17"/>
  <c r="D23" i="17"/>
  <c r="E23" i="17"/>
  <c r="F23" i="17"/>
  <c r="G23" i="17"/>
  <c r="H23" i="17"/>
  <c r="I23" i="17"/>
  <c r="C21" i="17"/>
  <c r="C22" i="17"/>
  <c r="C23" i="17"/>
  <c r="C20" i="17"/>
  <c r="C18" i="17"/>
  <c r="D18" i="17"/>
  <c r="E18" i="17"/>
  <c r="F18" i="17"/>
  <c r="G18" i="17"/>
  <c r="H18" i="17"/>
  <c r="I18" i="17"/>
  <c r="C19" i="17"/>
  <c r="D19" i="17"/>
  <c r="E19" i="17"/>
  <c r="F19" i="17"/>
  <c r="G19" i="17"/>
  <c r="H19" i="17"/>
  <c r="I19" i="17"/>
  <c r="D17" i="17"/>
  <c r="E17" i="17"/>
  <c r="F17" i="17"/>
  <c r="G17" i="17"/>
  <c r="H17" i="17"/>
  <c r="I17" i="17"/>
  <c r="C17" i="17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E20" i="11"/>
  <c r="E21" i="11"/>
  <c r="E22" i="11"/>
  <c r="E23" i="11"/>
  <c r="E24" i="11"/>
  <c r="E25" i="11"/>
  <c r="E19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B20" i="11"/>
  <c r="B21" i="11"/>
  <c r="B22" i="11"/>
  <c r="B23" i="11"/>
  <c r="B24" i="11"/>
  <c r="B25" i="11"/>
  <c r="B19" i="11"/>
  <c r="H630" i="1" l="1"/>
  <c r="H629" i="1"/>
  <c r="H627" i="1"/>
  <c r="H626" i="1"/>
  <c r="H631" i="1" s="1"/>
  <c r="H624" i="1"/>
  <c r="H623" i="1"/>
  <c r="H621" i="1"/>
  <c r="H620" i="1"/>
  <c r="H622" i="1" s="1"/>
  <c r="H618" i="1"/>
  <c r="H617" i="1"/>
  <c r="H615" i="1"/>
  <c r="H614" i="1"/>
  <c r="H619" i="1" s="1"/>
  <c r="H612" i="1"/>
  <c r="H611" i="1"/>
  <c r="H609" i="1"/>
  <c r="H608" i="1"/>
  <c r="H610" i="1" s="1"/>
  <c r="H606" i="1"/>
  <c r="H605" i="1"/>
  <c r="H603" i="1"/>
  <c r="H602" i="1"/>
  <c r="H607" i="1" s="1"/>
  <c r="H600" i="1"/>
  <c r="H599" i="1"/>
  <c r="H597" i="1"/>
  <c r="H596" i="1"/>
  <c r="H598" i="1" s="1"/>
  <c r="H594" i="1"/>
  <c r="H593" i="1"/>
  <c r="H591" i="1"/>
  <c r="H590" i="1"/>
  <c r="H595" i="1" s="1"/>
  <c r="H504" i="1"/>
  <c r="H503" i="1"/>
  <c r="H501" i="1"/>
  <c r="H500" i="1"/>
  <c r="H505" i="1" s="1"/>
  <c r="H498" i="1"/>
  <c r="H497" i="1"/>
  <c r="H495" i="1"/>
  <c r="H494" i="1"/>
  <c r="H499" i="1" s="1"/>
  <c r="H492" i="1"/>
  <c r="H491" i="1"/>
  <c r="H490" i="1"/>
  <c r="H489" i="1"/>
  <c r="H488" i="1"/>
  <c r="H493" i="1" s="1"/>
  <c r="H486" i="1"/>
  <c r="H485" i="1"/>
  <c r="H483" i="1"/>
  <c r="H482" i="1"/>
  <c r="H487" i="1" s="1"/>
  <c r="H480" i="1"/>
  <c r="H479" i="1"/>
  <c r="H477" i="1"/>
  <c r="H476" i="1"/>
  <c r="H481" i="1" s="1"/>
  <c r="H474" i="1"/>
  <c r="H473" i="1"/>
  <c r="H471" i="1"/>
  <c r="H470" i="1"/>
  <c r="H475" i="1" s="1"/>
  <c r="H468" i="1"/>
  <c r="H467" i="1"/>
  <c r="H465" i="1"/>
  <c r="H464" i="1"/>
  <c r="H469" i="1" s="1"/>
  <c r="H378" i="1"/>
  <c r="H377" i="1"/>
  <c r="H375" i="1"/>
  <c r="H374" i="1"/>
  <c r="H379" i="1" s="1"/>
  <c r="H372" i="1"/>
  <c r="H371" i="1"/>
  <c r="H369" i="1"/>
  <c r="H368" i="1"/>
  <c r="H370" i="1" s="1"/>
  <c r="H366" i="1"/>
  <c r="H365" i="1"/>
  <c r="H363" i="1"/>
  <c r="H362" i="1"/>
  <c r="H367" i="1" s="1"/>
  <c r="H360" i="1"/>
  <c r="H359" i="1"/>
  <c r="H357" i="1"/>
  <c r="H356" i="1"/>
  <c r="H358" i="1" s="1"/>
  <c r="H354" i="1"/>
  <c r="H353" i="1"/>
  <c r="H351" i="1"/>
  <c r="H350" i="1"/>
  <c r="H355" i="1" s="1"/>
  <c r="H348" i="1"/>
  <c r="H347" i="1"/>
  <c r="H345" i="1"/>
  <c r="H344" i="1"/>
  <c r="H346" i="1" s="1"/>
  <c r="H342" i="1"/>
  <c r="H341" i="1"/>
  <c r="H339" i="1"/>
  <c r="H338" i="1"/>
  <c r="H343" i="1" s="1"/>
  <c r="H252" i="1"/>
  <c r="H251" i="1"/>
  <c r="H249" i="1"/>
  <c r="H248" i="1"/>
  <c r="H253" i="1" s="1"/>
  <c r="H246" i="1"/>
  <c r="H245" i="1"/>
  <c r="H243" i="1"/>
  <c r="H242" i="1"/>
  <c r="H247" i="1" s="1"/>
  <c r="H240" i="1"/>
  <c r="H239" i="1"/>
  <c r="H237" i="1"/>
  <c r="H236" i="1"/>
  <c r="H241" i="1" s="1"/>
  <c r="H234" i="1"/>
  <c r="H233" i="1"/>
  <c r="H231" i="1"/>
  <c r="H230" i="1"/>
  <c r="H235" i="1" s="1"/>
  <c r="H228" i="1"/>
  <c r="H227" i="1"/>
  <c r="H225" i="1"/>
  <c r="H224" i="1"/>
  <c r="H229" i="1" s="1"/>
  <c r="H222" i="1"/>
  <c r="H221" i="1"/>
  <c r="H219" i="1"/>
  <c r="H218" i="1"/>
  <c r="H223" i="1" s="1"/>
  <c r="H216" i="1"/>
  <c r="H215" i="1"/>
  <c r="H213" i="1"/>
  <c r="H212" i="1"/>
  <c r="H217" i="1" s="1"/>
  <c r="H587" i="1"/>
  <c r="H586" i="1"/>
  <c r="H583" i="1"/>
  <c r="H589" i="1" s="1"/>
  <c r="H580" i="1"/>
  <c r="H579" i="1"/>
  <c r="H576" i="1"/>
  <c r="H581" i="1" s="1"/>
  <c r="H573" i="1"/>
  <c r="H572" i="1"/>
  <c r="H569" i="1"/>
  <c r="H574" i="1" s="1"/>
  <c r="H566" i="1"/>
  <c r="H565" i="1"/>
  <c r="H562" i="1"/>
  <c r="H568" i="1" s="1"/>
  <c r="H559" i="1"/>
  <c r="H558" i="1"/>
  <c r="H555" i="1"/>
  <c r="H561" i="1" s="1"/>
  <c r="H552" i="1"/>
  <c r="H551" i="1"/>
  <c r="H548" i="1"/>
  <c r="H553" i="1" s="1"/>
  <c r="H545" i="1"/>
  <c r="H544" i="1"/>
  <c r="H541" i="1"/>
  <c r="H546" i="1" s="1"/>
  <c r="H461" i="1"/>
  <c r="H460" i="1"/>
  <c r="H457" i="1"/>
  <c r="H463" i="1" s="1"/>
  <c r="H454" i="1"/>
  <c r="H453" i="1"/>
  <c r="H450" i="1"/>
  <c r="H455" i="1" s="1"/>
  <c r="H447" i="1"/>
  <c r="H446" i="1"/>
  <c r="H443" i="1"/>
  <c r="H449" i="1" s="1"/>
  <c r="H440" i="1"/>
  <c r="H439" i="1"/>
  <c r="H436" i="1"/>
  <c r="H442" i="1" s="1"/>
  <c r="H433" i="1"/>
  <c r="H432" i="1"/>
  <c r="H429" i="1"/>
  <c r="H434" i="1" s="1"/>
  <c r="H426" i="1"/>
  <c r="H425" i="1"/>
  <c r="H422" i="1"/>
  <c r="H423" i="1" s="1"/>
  <c r="H419" i="1"/>
  <c r="H418" i="1"/>
  <c r="H415" i="1"/>
  <c r="H421" i="1" s="1"/>
  <c r="H335" i="1"/>
  <c r="H334" i="1"/>
  <c r="H331" i="1"/>
  <c r="H337" i="1" s="1"/>
  <c r="H328" i="1"/>
  <c r="H327" i="1"/>
  <c r="H324" i="1"/>
  <c r="H329" i="1" s="1"/>
  <c r="H321" i="1"/>
  <c r="H320" i="1"/>
  <c r="H317" i="1"/>
  <c r="H318" i="1" s="1"/>
  <c r="H314" i="1"/>
  <c r="H313" i="1"/>
  <c r="H310" i="1"/>
  <c r="H316" i="1" s="1"/>
  <c r="H307" i="1"/>
  <c r="H306" i="1"/>
  <c r="H303" i="1"/>
  <c r="H309" i="1" s="1"/>
  <c r="H300" i="1"/>
  <c r="H299" i="1"/>
  <c r="H296" i="1"/>
  <c r="H301" i="1" s="1"/>
  <c r="H293" i="1"/>
  <c r="H292" i="1"/>
  <c r="H289" i="1"/>
  <c r="H291" i="1" s="1"/>
  <c r="H209" i="1"/>
  <c r="H208" i="1"/>
  <c r="H205" i="1"/>
  <c r="H211" i="1" s="1"/>
  <c r="H202" i="1"/>
  <c r="H201" i="1"/>
  <c r="H198" i="1"/>
  <c r="H203" i="1" s="1"/>
  <c r="H195" i="1"/>
  <c r="H194" i="1"/>
  <c r="H191" i="1"/>
  <c r="H197" i="1" s="1"/>
  <c r="H188" i="1"/>
  <c r="H187" i="1"/>
  <c r="H184" i="1"/>
  <c r="H190" i="1" s="1"/>
  <c r="H181" i="1"/>
  <c r="H180" i="1"/>
  <c r="H177" i="1"/>
  <c r="H183" i="1" s="1"/>
  <c r="H174" i="1"/>
  <c r="H173" i="1"/>
  <c r="H170" i="1"/>
  <c r="H175" i="1" s="1"/>
  <c r="H167" i="1"/>
  <c r="H166" i="1"/>
  <c r="H163" i="1"/>
  <c r="H165" i="1" s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R14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R5" i="1"/>
  <c r="R13" i="1"/>
  <c r="R12" i="1"/>
  <c r="R11" i="1"/>
  <c r="R8" i="1"/>
  <c r="R7" i="1"/>
  <c r="R6" i="1"/>
  <c r="N166" i="1"/>
  <c r="N165" i="1"/>
  <c r="H79" i="1"/>
  <c r="H81" i="1" s="1"/>
  <c r="H72" i="1"/>
  <c r="H78" i="1" s="1"/>
  <c r="H65" i="1"/>
  <c r="H66" i="1" s="1"/>
  <c r="H58" i="1"/>
  <c r="H64" i="1" s="1"/>
  <c r="H51" i="1"/>
  <c r="H57" i="1" s="1"/>
  <c r="H44" i="1"/>
  <c r="H50" i="1" s="1"/>
  <c r="H115" i="1"/>
  <c r="H112" i="1"/>
  <c r="H109" i="1"/>
  <c r="H106" i="1"/>
  <c r="H103" i="1"/>
  <c r="H100" i="1"/>
  <c r="H127" i="1"/>
  <c r="H124" i="1"/>
  <c r="H97" i="1"/>
  <c r="H94" i="1"/>
  <c r="H121" i="1"/>
  <c r="H118" i="1"/>
  <c r="H91" i="1"/>
  <c r="H88" i="1"/>
  <c r="H36" i="1"/>
  <c r="H35" i="1"/>
  <c r="H32" i="1"/>
  <c r="H31" i="1"/>
  <c r="H30" i="1"/>
  <c r="H27" i="1"/>
  <c r="H26" i="1"/>
  <c r="H25" i="1"/>
  <c r="H22" i="1"/>
  <c r="H21" i="1"/>
  <c r="H20" i="1"/>
  <c r="H17" i="1"/>
  <c r="H16" i="1"/>
  <c r="H15" i="1"/>
  <c r="H12" i="1"/>
  <c r="H11" i="1"/>
  <c r="H10" i="1"/>
  <c r="H5" i="1"/>
  <c r="H7" i="1"/>
  <c r="H6" i="1"/>
  <c r="H2" i="1"/>
  <c r="H578" i="1" l="1"/>
  <c r="H582" i="1"/>
  <c r="H193" i="1"/>
  <c r="H575" i="1"/>
  <c r="H340" i="1"/>
  <c r="H364" i="1"/>
  <c r="H196" i="1"/>
  <c r="H424" i="1"/>
  <c r="H435" i="1"/>
  <c r="H214" i="1"/>
  <c r="H238" i="1"/>
  <c r="H570" i="1"/>
  <c r="H592" i="1"/>
  <c r="H427" i="1"/>
  <c r="H428" i="1"/>
  <c r="H466" i="1"/>
  <c r="H547" i="1"/>
  <c r="H322" i="1"/>
  <c r="H323" i="1"/>
  <c r="H226" i="1"/>
  <c r="H352" i="1"/>
  <c r="H478" i="1"/>
  <c r="H604" i="1"/>
  <c r="H571" i="1"/>
  <c r="H616" i="1"/>
  <c r="H59" i="1"/>
  <c r="H250" i="1"/>
  <c r="H376" i="1"/>
  <c r="H502" i="1"/>
  <c r="H169" i="1"/>
  <c r="H448" i="1"/>
  <c r="H176" i="1"/>
  <c r="H192" i="1"/>
  <c r="H319" i="1"/>
  <c r="H452" i="1"/>
  <c r="H542" i="1"/>
  <c r="H298" i="1"/>
  <c r="H294" i="1"/>
  <c r="H330" i="1"/>
  <c r="H420" i="1"/>
  <c r="H543" i="1"/>
  <c r="H168" i="1"/>
  <c r="H295" i="1"/>
  <c r="H431" i="1"/>
  <c r="H444" i="1"/>
  <c r="H554" i="1"/>
  <c r="H456" i="1"/>
  <c r="H172" i="1"/>
  <c r="H290" i="1"/>
  <c r="H628" i="1"/>
  <c r="H74" i="1"/>
  <c r="H164" i="1"/>
  <c r="H200" i="1"/>
  <c r="H326" i="1"/>
  <c r="H416" i="1"/>
  <c r="H45" i="1"/>
  <c r="H77" i="1"/>
  <c r="H302" i="1"/>
  <c r="H451" i="1"/>
  <c r="H550" i="1"/>
  <c r="H601" i="1"/>
  <c r="H613" i="1"/>
  <c r="H625" i="1"/>
  <c r="H472" i="1"/>
  <c r="H484" i="1"/>
  <c r="H496" i="1"/>
  <c r="H349" i="1"/>
  <c r="H361" i="1"/>
  <c r="H373" i="1"/>
  <c r="H220" i="1"/>
  <c r="H232" i="1"/>
  <c r="H244" i="1"/>
  <c r="H563" i="1"/>
  <c r="H567" i="1"/>
  <c r="H556" i="1"/>
  <c r="H560" i="1"/>
  <c r="H564" i="1"/>
  <c r="H584" i="1"/>
  <c r="H588" i="1"/>
  <c r="H549" i="1"/>
  <c r="H557" i="1"/>
  <c r="H577" i="1"/>
  <c r="H585" i="1"/>
  <c r="H417" i="1"/>
  <c r="H437" i="1"/>
  <c r="H441" i="1"/>
  <c r="H445" i="1"/>
  <c r="H430" i="1"/>
  <c r="H438" i="1"/>
  <c r="H458" i="1"/>
  <c r="H462" i="1"/>
  <c r="H459" i="1"/>
  <c r="H311" i="1"/>
  <c r="H315" i="1"/>
  <c r="H304" i="1"/>
  <c r="H308" i="1"/>
  <c r="H312" i="1"/>
  <c r="H332" i="1"/>
  <c r="H336" i="1"/>
  <c r="H297" i="1"/>
  <c r="H305" i="1"/>
  <c r="H325" i="1"/>
  <c r="H333" i="1"/>
  <c r="H204" i="1"/>
  <c r="H185" i="1"/>
  <c r="H189" i="1"/>
  <c r="H178" i="1"/>
  <c r="H182" i="1"/>
  <c r="H186" i="1"/>
  <c r="H206" i="1"/>
  <c r="H210" i="1"/>
  <c r="H171" i="1"/>
  <c r="H179" i="1"/>
  <c r="H199" i="1"/>
  <c r="H207" i="1"/>
  <c r="H53" i="1"/>
  <c r="H56" i="1"/>
  <c r="H73" i="1"/>
  <c r="H84" i="1"/>
  <c r="H85" i="1"/>
  <c r="H80" i="1"/>
  <c r="H71" i="1"/>
  <c r="H67" i="1"/>
  <c r="H70" i="1"/>
  <c r="H60" i="1"/>
  <c r="H63" i="1"/>
  <c r="H52" i="1"/>
  <c r="H46" i="1"/>
  <c r="H49" i="1"/>
  <c r="G627" i="1" l="1"/>
  <c r="F626" i="1"/>
  <c r="F631" i="1" s="1"/>
  <c r="G631" i="1" s="1"/>
  <c r="G621" i="1"/>
  <c r="F620" i="1"/>
  <c r="F625" i="1" s="1"/>
  <c r="G625" i="1" s="1"/>
  <c r="G615" i="1"/>
  <c r="F614" i="1"/>
  <c r="F619" i="1" s="1"/>
  <c r="G619" i="1" s="1"/>
  <c r="G609" i="1"/>
  <c r="F608" i="1"/>
  <c r="F613" i="1" s="1"/>
  <c r="G613" i="1" s="1"/>
  <c r="G603" i="1"/>
  <c r="F602" i="1"/>
  <c r="F607" i="1" s="1"/>
  <c r="G607" i="1" s="1"/>
  <c r="G597" i="1"/>
  <c r="F596" i="1"/>
  <c r="F601" i="1" s="1"/>
  <c r="G601" i="1" s="1"/>
  <c r="F590" i="1"/>
  <c r="G590" i="1" s="1"/>
  <c r="G501" i="1"/>
  <c r="F500" i="1"/>
  <c r="F505" i="1" s="1"/>
  <c r="G505" i="1" s="1"/>
  <c r="G495" i="1"/>
  <c r="F494" i="1"/>
  <c r="F499" i="1" s="1"/>
  <c r="G499" i="1" s="1"/>
  <c r="G489" i="1"/>
  <c r="F488" i="1"/>
  <c r="F491" i="1" s="1"/>
  <c r="G491" i="1" s="1"/>
  <c r="G483" i="1"/>
  <c r="F482" i="1"/>
  <c r="F487" i="1" s="1"/>
  <c r="G487" i="1" s="1"/>
  <c r="G477" i="1"/>
  <c r="F476" i="1"/>
  <c r="F481" i="1" s="1"/>
  <c r="G481" i="1" s="1"/>
  <c r="G471" i="1"/>
  <c r="F470" i="1"/>
  <c r="F475" i="1" s="1"/>
  <c r="G475" i="1" s="1"/>
  <c r="F464" i="1"/>
  <c r="F469" i="1" s="1"/>
  <c r="G469" i="1" s="1"/>
  <c r="G375" i="1"/>
  <c r="F374" i="1"/>
  <c r="F379" i="1" s="1"/>
  <c r="G379" i="1" s="1"/>
  <c r="G369" i="1"/>
  <c r="F368" i="1"/>
  <c r="F373" i="1" s="1"/>
  <c r="G373" i="1" s="1"/>
  <c r="G363" i="1"/>
  <c r="F362" i="1"/>
  <c r="F364" i="1" s="1"/>
  <c r="G364" i="1" s="1"/>
  <c r="G357" i="1"/>
  <c r="F356" i="1"/>
  <c r="F361" i="1" s="1"/>
  <c r="G361" i="1" s="1"/>
  <c r="G351" i="1"/>
  <c r="F350" i="1"/>
  <c r="F355" i="1" s="1"/>
  <c r="G355" i="1" s="1"/>
  <c r="G345" i="1"/>
  <c r="F344" i="1"/>
  <c r="F349" i="1" s="1"/>
  <c r="G349" i="1" s="1"/>
  <c r="F338" i="1"/>
  <c r="F343" i="1" s="1"/>
  <c r="G343" i="1" s="1"/>
  <c r="G249" i="1"/>
  <c r="F248" i="1"/>
  <c r="F253" i="1" s="1"/>
  <c r="G253" i="1" s="1"/>
  <c r="G243" i="1"/>
  <c r="F242" i="1"/>
  <c r="F247" i="1" s="1"/>
  <c r="G247" i="1" s="1"/>
  <c r="G237" i="1"/>
  <c r="F236" i="1"/>
  <c r="F241" i="1" s="1"/>
  <c r="G241" i="1" s="1"/>
  <c r="G231" i="1"/>
  <c r="F230" i="1"/>
  <c r="F235" i="1" s="1"/>
  <c r="G235" i="1" s="1"/>
  <c r="G225" i="1"/>
  <c r="F224" i="1"/>
  <c r="F229" i="1" s="1"/>
  <c r="G229" i="1" s="1"/>
  <c r="G219" i="1"/>
  <c r="F218" i="1"/>
  <c r="F223" i="1" s="1"/>
  <c r="G223" i="1" s="1"/>
  <c r="F212" i="1"/>
  <c r="F217" i="1" s="1"/>
  <c r="G217" i="1" s="1"/>
  <c r="F117" i="1"/>
  <c r="G117" i="1" s="1"/>
  <c r="F122" i="1"/>
  <c r="F127" i="1" s="1"/>
  <c r="G127" i="1" s="1"/>
  <c r="G123" i="1"/>
  <c r="F111" i="1"/>
  <c r="G111" i="1" s="1"/>
  <c r="F105" i="1"/>
  <c r="G105" i="1" s="1"/>
  <c r="F99" i="1"/>
  <c r="G99" i="1" s="1"/>
  <c r="F93" i="1"/>
  <c r="F92" i="1" s="1"/>
  <c r="G87" i="1"/>
  <c r="F86" i="1"/>
  <c r="F90" i="1" s="1"/>
  <c r="G90" i="1" s="1"/>
  <c r="F289" i="1"/>
  <c r="G289" i="1" s="1"/>
  <c r="G290" i="1" s="1"/>
  <c r="G213" i="1"/>
  <c r="G339" i="1"/>
  <c r="G464" i="1"/>
  <c r="G465" i="1"/>
  <c r="G591" i="1"/>
  <c r="F587" i="1"/>
  <c r="G587" i="1" s="1"/>
  <c r="F586" i="1"/>
  <c r="G586" i="1" s="1"/>
  <c r="F583" i="1"/>
  <c r="G583" i="1" s="1"/>
  <c r="G584" i="1" s="1"/>
  <c r="F580" i="1"/>
  <c r="G580" i="1" s="1"/>
  <c r="F579" i="1"/>
  <c r="G579" i="1" s="1"/>
  <c r="F576" i="1"/>
  <c r="G576" i="1" s="1"/>
  <c r="G577" i="1" s="1"/>
  <c r="F573" i="1"/>
  <c r="G573" i="1" s="1"/>
  <c r="F572" i="1"/>
  <c r="G572" i="1" s="1"/>
  <c r="F569" i="1"/>
  <c r="G569" i="1" s="1"/>
  <c r="G570" i="1" s="1"/>
  <c r="G574" i="1" s="1"/>
  <c r="G575" i="1" s="1"/>
  <c r="F566" i="1"/>
  <c r="G566" i="1" s="1"/>
  <c r="F565" i="1"/>
  <c r="G565" i="1" s="1"/>
  <c r="F562" i="1"/>
  <c r="G562" i="1" s="1"/>
  <c r="G563" i="1" s="1"/>
  <c r="F559" i="1"/>
  <c r="G559" i="1" s="1"/>
  <c r="F558" i="1"/>
  <c r="G558" i="1" s="1"/>
  <c r="F555" i="1"/>
  <c r="G555" i="1" s="1"/>
  <c r="G556" i="1" s="1"/>
  <c r="F552" i="1"/>
  <c r="G552" i="1" s="1"/>
  <c r="F551" i="1"/>
  <c r="G551" i="1" s="1"/>
  <c r="F548" i="1"/>
  <c r="G548" i="1" s="1"/>
  <c r="G549" i="1" s="1"/>
  <c r="F545" i="1"/>
  <c r="G545" i="1" s="1"/>
  <c r="F544" i="1"/>
  <c r="G544" i="1" s="1"/>
  <c r="F541" i="1"/>
  <c r="G541" i="1" s="1"/>
  <c r="G542" i="1" s="1"/>
  <c r="F533" i="1"/>
  <c r="G533" i="1" s="1"/>
  <c r="F531" i="1"/>
  <c r="G531" i="1" s="1"/>
  <c r="F538" i="1"/>
  <c r="G538" i="1" s="1"/>
  <c r="F536" i="1"/>
  <c r="G536" i="1" s="1"/>
  <c r="F528" i="1"/>
  <c r="G528" i="1" s="1"/>
  <c r="F526" i="1"/>
  <c r="G526" i="1" s="1"/>
  <c r="F523" i="1"/>
  <c r="G523" i="1" s="1"/>
  <c r="F521" i="1"/>
  <c r="G521" i="1" s="1"/>
  <c r="F518" i="1"/>
  <c r="G518" i="1" s="1"/>
  <c r="F516" i="1"/>
  <c r="G516" i="1" s="1"/>
  <c r="F513" i="1"/>
  <c r="G513" i="1" s="1"/>
  <c r="F511" i="1"/>
  <c r="G511" i="1" s="1"/>
  <c r="G512" i="1" s="1"/>
  <c r="F508" i="1"/>
  <c r="G508" i="1" s="1"/>
  <c r="F506" i="1"/>
  <c r="G506" i="1" s="1"/>
  <c r="F461" i="1"/>
  <c r="G461" i="1" s="1"/>
  <c r="F460" i="1"/>
  <c r="G460" i="1" s="1"/>
  <c r="F457" i="1"/>
  <c r="G457" i="1" s="1"/>
  <c r="G458" i="1" s="1"/>
  <c r="F454" i="1"/>
  <c r="G454" i="1" s="1"/>
  <c r="F453" i="1"/>
  <c r="G453" i="1" s="1"/>
  <c r="F450" i="1"/>
  <c r="G450" i="1" s="1"/>
  <c r="G451" i="1" s="1"/>
  <c r="F447" i="1"/>
  <c r="G447" i="1" s="1"/>
  <c r="F446" i="1"/>
  <c r="G446" i="1" s="1"/>
  <c r="F443" i="1"/>
  <c r="G443" i="1" s="1"/>
  <c r="G444" i="1" s="1"/>
  <c r="G448" i="1" s="1"/>
  <c r="G449" i="1" s="1"/>
  <c r="F440" i="1"/>
  <c r="G440" i="1" s="1"/>
  <c r="F439" i="1"/>
  <c r="G439" i="1" s="1"/>
  <c r="F436" i="1"/>
  <c r="G436" i="1" s="1"/>
  <c r="G437" i="1" s="1"/>
  <c r="F433" i="1"/>
  <c r="G433" i="1" s="1"/>
  <c r="F432" i="1"/>
  <c r="G432" i="1" s="1"/>
  <c r="F429" i="1"/>
  <c r="G429" i="1" s="1"/>
  <c r="G430" i="1" s="1"/>
  <c r="F426" i="1"/>
  <c r="G426" i="1" s="1"/>
  <c r="F425" i="1"/>
  <c r="G425" i="1" s="1"/>
  <c r="F422" i="1"/>
  <c r="G422" i="1" s="1"/>
  <c r="G423" i="1" s="1"/>
  <c r="F419" i="1"/>
  <c r="G419" i="1" s="1"/>
  <c r="F418" i="1"/>
  <c r="G418" i="1" s="1"/>
  <c r="F415" i="1"/>
  <c r="G415" i="1" s="1"/>
  <c r="G416" i="1" s="1"/>
  <c r="F407" i="1"/>
  <c r="G407" i="1" s="1"/>
  <c r="F405" i="1"/>
  <c r="G405" i="1" s="1"/>
  <c r="F412" i="1"/>
  <c r="G412" i="1" s="1"/>
  <c r="F410" i="1"/>
  <c r="G410" i="1" s="1"/>
  <c r="G414" i="1" s="1"/>
  <c r="F402" i="1"/>
  <c r="G402" i="1" s="1"/>
  <c r="F400" i="1"/>
  <c r="G400" i="1" s="1"/>
  <c r="F397" i="1"/>
  <c r="G397" i="1" s="1"/>
  <c r="F395" i="1"/>
  <c r="G395" i="1" s="1"/>
  <c r="F392" i="1"/>
  <c r="G392" i="1" s="1"/>
  <c r="F390" i="1"/>
  <c r="G390" i="1" s="1"/>
  <c r="F387" i="1"/>
  <c r="G387" i="1" s="1"/>
  <c r="F385" i="1"/>
  <c r="G385" i="1" s="1"/>
  <c r="G388" i="1" s="1"/>
  <c r="F382" i="1"/>
  <c r="G382" i="1" s="1"/>
  <c r="F380" i="1"/>
  <c r="G380" i="1" s="1"/>
  <c r="F335" i="1"/>
  <c r="G335" i="1" s="1"/>
  <c r="F334" i="1"/>
  <c r="G334" i="1" s="1"/>
  <c r="F331" i="1"/>
  <c r="G331" i="1" s="1"/>
  <c r="G332" i="1" s="1"/>
  <c r="F328" i="1"/>
  <c r="G328" i="1" s="1"/>
  <c r="F327" i="1"/>
  <c r="G327" i="1" s="1"/>
  <c r="F324" i="1"/>
  <c r="G324" i="1" s="1"/>
  <c r="G325" i="1" s="1"/>
  <c r="F321" i="1"/>
  <c r="G321" i="1" s="1"/>
  <c r="F320" i="1"/>
  <c r="G320" i="1" s="1"/>
  <c r="F317" i="1"/>
  <c r="G317" i="1" s="1"/>
  <c r="G318" i="1" s="1"/>
  <c r="G322" i="1" s="1"/>
  <c r="G323" i="1" s="1"/>
  <c r="F314" i="1"/>
  <c r="G314" i="1" s="1"/>
  <c r="F313" i="1"/>
  <c r="G313" i="1" s="1"/>
  <c r="F310" i="1"/>
  <c r="G310" i="1" s="1"/>
  <c r="G311" i="1" s="1"/>
  <c r="F307" i="1"/>
  <c r="G307" i="1" s="1"/>
  <c r="F306" i="1"/>
  <c r="G306" i="1" s="1"/>
  <c r="F303" i="1"/>
  <c r="G303" i="1" s="1"/>
  <c r="G304" i="1" s="1"/>
  <c r="G305" i="1" s="1"/>
  <c r="F300" i="1"/>
  <c r="G300" i="1" s="1"/>
  <c r="F299" i="1"/>
  <c r="G299" i="1" s="1"/>
  <c r="F296" i="1"/>
  <c r="G296" i="1" s="1"/>
  <c r="G297" i="1" s="1"/>
  <c r="F293" i="1"/>
  <c r="G293" i="1" s="1"/>
  <c r="F292" i="1"/>
  <c r="G292" i="1" s="1"/>
  <c r="F286" i="1"/>
  <c r="G286" i="1" s="1"/>
  <c r="F281" i="1"/>
  <c r="G281" i="1" s="1"/>
  <c r="F276" i="1"/>
  <c r="G276" i="1" s="1"/>
  <c r="F271" i="1"/>
  <c r="G271" i="1" s="1"/>
  <c r="F266" i="1"/>
  <c r="G266" i="1" s="1"/>
  <c r="F261" i="1"/>
  <c r="G261" i="1" s="1"/>
  <c r="F256" i="1"/>
  <c r="G256" i="1" s="1"/>
  <c r="F284" i="1"/>
  <c r="G284" i="1" s="1"/>
  <c r="F279" i="1"/>
  <c r="G279" i="1" s="1"/>
  <c r="F274" i="1"/>
  <c r="G274" i="1" s="1"/>
  <c r="F269" i="1"/>
  <c r="G269" i="1" s="1"/>
  <c r="F264" i="1"/>
  <c r="G264" i="1" s="1"/>
  <c r="F259" i="1"/>
  <c r="G259" i="1" s="1"/>
  <c r="F254" i="1"/>
  <c r="G254" i="1" s="1"/>
  <c r="F205" i="1"/>
  <c r="G205" i="1" s="1"/>
  <c r="G206" i="1" s="1"/>
  <c r="F198" i="1"/>
  <c r="G198" i="1" s="1"/>
  <c r="G199" i="1" s="1"/>
  <c r="G203" i="1" s="1"/>
  <c r="G204" i="1" s="1"/>
  <c r="F191" i="1"/>
  <c r="G191" i="1" s="1"/>
  <c r="G192" i="1" s="1"/>
  <c r="G196" i="1" s="1"/>
  <c r="G197" i="1" s="1"/>
  <c r="F184" i="1"/>
  <c r="G184" i="1" s="1"/>
  <c r="G185" i="1" s="1"/>
  <c r="G189" i="1" s="1"/>
  <c r="G190" i="1" s="1"/>
  <c r="F177" i="1"/>
  <c r="G177" i="1" s="1"/>
  <c r="G178" i="1" s="1"/>
  <c r="G182" i="1" s="1"/>
  <c r="G183" i="1" s="1"/>
  <c r="F170" i="1"/>
  <c r="G170" i="1" s="1"/>
  <c r="G171" i="1" s="1"/>
  <c r="F163" i="1"/>
  <c r="F160" i="1"/>
  <c r="G160" i="1" s="1"/>
  <c r="F155" i="1"/>
  <c r="G155" i="1" s="1"/>
  <c r="F150" i="1"/>
  <c r="G150" i="1" s="1"/>
  <c r="F145" i="1"/>
  <c r="G145" i="1" s="1"/>
  <c r="F140" i="1"/>
  <c r="G140" i="1" s="1"/>
  <c r="F138" i="1"/>
  <c r="G138" i="1" s="1"/>
  <c r="F135" i="1"/>
  <c r="G135" i="1" s="1"/>
  <c r="F130" i="1"/>
  <c r="G130" i="1" s="1"/>
  <c r="F158" i="1"/>
  <c r="G158" i="1" s="1"/>
  <c r="F153" i="1"/>
  <c r="G153" i="1" s="1"/>
  <c r="F148" i="1"/>
  <c r="G148" i="1" s="1"/>
  <c r="F143" i="1"/>
  <c r="G143" i="1" s="1"/>
  <c r="F133" i="1"/>
  <c r="G133" i="1" s="1"/>
  <c r="F128" i="1"/>
  <c r="G128" i="1" s="1"/>
  <c r="G132" i="1" s="1"/>
  <c r="F79" i="1"/>
  <c r="G79" i="1" s="1"/>
  <c r="G80" i="1" s="1"/>
  <c r="G84" i="1" s="1"/>
  <c r="G85" i="1" s="1"/>
  <c r="F72" i="1"/>
  <c r="G72" i="1" s="1"/>
  <c r="G73" i="1" s="1"/>
  <c r="G77" i="1" s="1"/>
  <c r="G78" i="1" s="1"/>
  <c r="F65" i="1"/>
  <c r="G65" i="1" s="1"/>
  <c r="G66" i="1" s="1"/>
  <c r="F58" i="1"/>
  <c r="G58" i="1" s="1"/>
  <c r="G59" i="1" s="1"/>
  <c r="G63" i="1" s="1"/>
  <c r="G64" i="1" s="1"/>
  <c r="F51" i="1"/>
  <c r="G51" i="1" s="1"/>
  <c r="G52" i="1" s="1"/>
  <c r="G56" i="1" s="1"/>
  <c r="G57" i="1" s="1"/>
  <c r="F44" i="1"/>
  <c r="G44" i="1" s="1"/>
  <c r="G45" i="1" s="1"/>
  <c r="F37" i="1"/>
  <c r="G37" i="1" s="1"/>
  <c r="F34" i="1"/>
  <c r="G34" i="1" s="1"/>
  <c r="F29" i="1"/>
  <c r="G29" i="1" s="1"/>
  <c r="F24" i="1"/>
  <c r="G24" i="1" s="1"/>
  <c r="F19" i="1"/>
  <c r="G19" i="1" s="1"/>
  <c r="F14" i="1"/>
  <c r="G14" i="1" s="1"/>
  <c r="F9" i="1"/>
  <c r="G9" i="1" s="1"/>
  <c r="F4" i="1"/>
  <c r="G4" i="1" s="1"/>
  <c r="F27" i="1"/>
  <c r="G27" i="1" s="1"/>
  <c r="F32" i="1"/>
  <c r="G32" i="1" s="1"/>
  <c r="G35" i="1" s="1"/>
  <c r="F22" i="1"/>
  <c r="G22" i="1" s="1"/>
  <c r="F17" i="1"/>
  <c r="G17" i="1" s="1"/>
  <c r="G21" i="1" s="1"/>
  <c r="F12" i="1"/>
  <c r="G12" i="1" s="1"/>
  <c r="G13" i="1" s="1"/>
  <c r="F7" i="1"/>
  <c r="G7" i="1" s="1"/>
  <c r="G11" i="1" s="1"/>
  <c r="F2" i="1"/>
  <c r="G2" i="1" s="1"/>
  <c r="G3" i="1" s="1"/>
  <c r="F234" i="1" l="1"/>
  <c r="G234" i="1" s="1"/>
  <c r="F240" i="1"/>
  <c r="G240" i="1" s="1"/>
  <c r="F370" i="1"/>
  <c r="G370" i="1" s="1"/>
  <c r="G338" i="1"/>
  <c r="F116" i="1"/>
  <c r="F121" i="1" s="1"/>
  <c r="G121" i="1" s="1"/>
  <c r="F376" i="1"/>
  <c r="G376" i="1" s="1"/>
  <c r="F341" i="1"/>
  <c r="G341" i="1" s="1"/>
  <c r="F467" i="1"/>
  <c r="G467" i="1" s="1"/>
  <c r="F492" i="1"/>
  <c r="G492" i="1" s="1"/>
  <c r="F496" i="1"/>
  <c r="G496" i="1" s="1"/>
  <c r="F98" i="1"/>
  <c r="F103" i="1" s="1"/>
  <c r="G103" i="1" s="1"/>
  <c r="F110" i="1"/>
  <c r="F115" i="1" s="1"/>
  <c r="G115" i="1" s="1"/>
  <c r="F124" i="1"/>
  <c r="G124" i="1" s="1"/>
  <c r="G122" i="1"/>
  <c r="F342" i="1"/>
  <c r="G342" i="1" s="1"/>
  <c r="G356" i="1"/>
  <c r="F372" i="1"/>
  <c r="G372" i="1" s="1"/>
  <c r="F378" i="1"/>
  <c r="G378" i="1" s="1"/>
  <c r="F468" i="1"/>
  <c r="G468" i="1" s="1"/>
  <c r="G488" i="1"/>
  <c r="F493" i="1"/>
  <c r="G493" i="1" s="1"/>
  <c r="F498" i="1"/>
  <c r="G498" i="1" s="1"/>
  <c r="F125" i="1"/>
  <c r="G125" i="1" s="1"/>
  <c r="F228" i="1"/>
  <c r="G228" i="1" s="1"/>
  <c r="F352" i="1"/>
  <c r="G352" i="1" s="1"/>
  <c r="F478" i="1"/>
  <c r="G478" i="1" s="1"/>
  <c r="F484" i="1"/>
  <c r="G484" i="1" s="1"/>
  <c r="F104" i="1"/>
  <c r="F109" i="1" s="1"/>
  <c r="G109" i="1" s="1"/>
  <c r="F126" i="1"/>
  <c r="G126" i="1" s="1"/>
  <c r="F222" i="1"/>
  <c r="G222" i="1" s="1"/>
  <c r="F246" i="1"/>
  <c r="G246" i="1" s="1"/>
  <c r="F340" i="1"/>
  <c r="G340" i="1" s="1"/>
  <c r="F354" i="1"/>
  <c r="G354" i="1" s="1"/>
  <c r="F358" i="1"/>
  <c r="G358" i="1" s="1"/>
  <c r="F466" i="1"/>
  <c r="G466" i="1" s="1"/>
  <c r="F480" i="1"/>
  <c r="G480" i="1" s="1"/>
  <c r="F486" i="1"/>
  <c r="G486" i="1" s="1"/>
  <c r="F490" i="1"/>
  <c r="G490" i="1" s="1"/>
  <c r="G543" i="1"/>
  <c r="G546" i="1"/>
  <c r="G547" i="1" s="1"/>
  <c r="G585" i="1"/>
  <c r="G588" i="1"/>
  <c r="G589" i="1" s="1"/>
  <c r="G92" i="1"/>
  <c r="F94" i="1"/>
  <c r="G94" i="1" s="1"/>
  <c r="F96" i="1"/>
  <c r="G96" i="1" s="1"/>
  <c r="F97" i="1"/>
  <c r="G97" i="1" s="1"/>
  <c r="F95" i="1"/>
  <c r="G95" i="1" s="1"/>
  <c r="F91" i="1"/>
  <c r="G91" i="1" s="1"/>
  <c r="F365" i="1"/>
  <c r="G365" i="1" s="1"/>
  <c r="F595" i="1"/>
  <c r="G595" i="1" s="1"/>
  <c r="G86" i="1"/>
  <c r="G93" i="1"/>
  <c r="F366" i="1"/>
  <c r="G366" i="1" s="1"/>
  <c r="F89" i="1"/>
  <c r="G89" i="1" s="1"/>
  <c r="F348" i="1"/>
  <c r="G348" i="1" s="1"/>
  <c r="F367" i="1"/>
  <c r="G367" i="1" s="1"/>
  <c r="F474" i="1"/>
  <c r="G474" i="1" s="1"/>
  <c r="F593" i="1"/>
  <c r="G593" i="1" s="1"/>
  <c r="F604" i="1"/>
  <c r="G604" i="1" s="1"/>
  <c r="F610" i="1"/>
  <c r="G610" i="1" s="1"/>
  <c r="F616" i="1"/>
  <c r="G616" i="1" s="1"/>
  <c r="F622" i="1"/>
  <c r="G622" i="1" s="1"/>
  <c r="F630" i="1"/>
  <c r="G630" i="1" s="1"/>
  <c r="F88" i="1"/>
  <c r="G88" i="1" s="1"/>
  <c r="G362" i="1"/>
  <c r="F592" i="1"/>
  <c r="G592" i="1" s="1"/>
  <c r="F220" i="1"/>
  <c r="G220" i="1" s="1"/>
  <c r="F226" i="1"/>
  <c r="G226" i="1" s="1"/>
  <c r="F232" i="1"/>
  <c r="G232" i="1" s="1"/>
  <c r="F238" i="1"/>
  <c r="G238" i="1" s="1"/>
  <c r="F244" i="1"/>
  <c r="G244" i="1" s="1"/>
  <c r="F360" i="1"/>
  <c r="G360" i="1" s="1"/>
  <c r="F594" i="1"/>
  <c r="G594" i="1" s="1"/>
  <c r="F600" i="1"/>
  <c r="G600" i="1" s="1"/>
  <c r="F606" i="1"/>
  <c r="G606" i="1" s="1"/>
  <c r="F612" i="1"/>
  <c r="G612" i="1" s="1"/>
  <c r="F618" i="1"/>
  <c r="G618" i="1" s="1"/>
  <c r="F624" i="1"/>
  <c r="G624" i="1" s="1"/>
  <c r="F628" i="1"/>
  <c r="G628" i="1" s="1"/>
  <c r="G626" i="1"/>
  <c r="F629" i="1"/>
  <c r="G629" i="1" s="1"/>
  <c r="G620" i="1"/>
  <c r="F623" i="1"/>
  <c r="G623" i="1" s="1"/>
  <c r="G614" i="1"/>
  <c r="F617" i="1"/>
  <c r="G617" i="1" s="1"/>
  <c r="G608" i="1"/>
  <c r="F611" i="1"/>
  <c r="G611" i="1" s="1"/>
  <c r="G602" i="1"/>
  <c r="F605" i="1"/>
  <c r="G605" i="1" s="1"/>
  <c r="F598" i="1"/>
  <c r="G598" i="1" s="1"/>
  <c r="G596" i="1"/>
  <c r="F599" i="1"/>
  <c r="G599" i="1" s="1"/>
  <c r="F502" i="1"/>
  <c r="G502" i="1" s="1"/>
  <c r="F504" i="1"/>
  <c r="G504" i="1" s="1"/>
  <c r="G500" i="1"/>
  <c r="F503" i="1"/>
  <c r="G503" i="1" s="1"/>
  <c r="G494" i="1"/>
  <c r="F497" i="1"/>
  <c r="G497" i="1" s="1"/>
  <c r="G482" i="1"/>
  <c r="F485" i="1"/>
  <c r="G485" i="1" s="1"/>
  <c r="G476" i="1"/>
  <c r="F479" i="1"/>
  <c r="G479" i="1" s="1"/>
  <c r="F472" i="1"/>
  <c r="G472" i="1" s="1"/>
  <c r="G470" i="1"/>
  <c r="F473" i="1"/>
  <c r="G473" i="1" s="1"/>
  <c r="G374" i="1"/>
  <c r="F377" i="1"/>
  <c r="G377" i="1" s="1"/>
  <c r="G368" i="1"/>
  <c r="F371" i="1"/>
  <c r="G371" i="1" s="1"/>
  <c r="F359" i="1"/>
  <c r="G359" i="1" s="1"/>
  <c r="G350" i="1"/>
  <c r="F353" i="1"/>
  <c r="G353" i="1" s="1"/>
  <c r="F346" i="1"/>
  <c r="G346" i="1" s="1"/>
  <c r="G344" i="1"/>
  <c r="F347" i="1"/>
  <c r="G347" i="1" s="1"/>
  <c r="F250" i="1"/>
  <c r="G250" i="1" s="1"/>
  <c r="F252" i="1"/>
  <c r="G252" i="1" s="1"/>
  <c r="G248" i="1"/>
  <c r="F251" i="1"/>
  <c r="G251" i="1" s="1"/>
  <c r="G242" i="1"/>
  <c r="F245" i="1"/>
  <c r="G245" i="1" s="1"/>
  <c r="G236" i="1"/>
  <c r="F239" i="1"/>
  <c r="G239" i="1" s="1"/>
  <c r="G230" i="1"/>
  <c r="F233" i="1"/>
  <c r="G233" i="1" s="1"/>
  <c r="G224" i="1"/>
  <c r="F227" i="1"/>
  <c r="G227" i="1" s="1"/>
  <c r="G218" i="1"/>
  <c r="F221" i="1"/>
  <c r="G221" i="1" s="1"/>
  <c r="F214" i="1"/>
  <c r="G214" i="1" s="1"/>
  <c r="F215" i="1"/>
  <c r="G215" i="1" s="1"/>
  <c r="G212" i="1"/>
  <c r="F216" i="1"/>
  <c r="G216" i="1" s="1"/>
  <c r="F118" i="1"/>
  <c r="G118" i="1" s="1"/>
  <c r="G578" i="1"/>
  <c r="G581" i="1"/>
  <c r="G582" i="1" s="1"/>
  <c r="G571" i="1"/>
  <c r="G564" i="1"/>
  <c r="G567" i="1"/>
  <c r="G568" i="1" s="1"/>
  <c r="G557" i="1"/>
  <c r="G560" i="1"/>
  <c r="G561" i="1" s="1"/>
  <c r="G550" i="1"/>
  <c r="G553" i="1"/>
  <c r="G554" i="1" s="1"/>
  <c r="G424" i="1"/>
  <c r="G427" i="1"/>
  <c r="G428" i="1" s="1"/>
  <c r="G417" i="1"/>
  <c r="G420" i="1"/>
  <c r="G421" i="1" s="1"/>
  <c r="G462" i="1"/>
  <c r="G463" i="1" s="1"/>
  <c r="G459" i="1"/>
  <c r="G445" i="1"/>
  <c r="G452" i="1"/>
  <c r="G455" i="1"/>
  <c r="G456" i="1" s="1"/>
  <c r="G438" i="1"/>
  <c r="G441" i="1"/>
  <c r="G442" i="1" s="1"/>
  <c r="G431" i="1"/>
  <c r="G434" i="1"/>
  <c r="G435" i="1" s="1"/>
  <c r="G333" i="1"/>
  <c r="G336" i="1"/>
  <c r="G337" i="1" s="1"/>
  <c r="G298" i="1"/>
  <c r="G301" i="1"/>
  <c r="G302" i="1" s="1"/>
  <c r="G291" i="1"/>
  <c r="G294" i="1"/>
  <c r="G295" i="1" s="1"/>
  <c r="G319" i="1"/>
  <c r="G326" i="1"/>
  <c r="G329" i="1"/>
  <c r="G330" i="1" s="1"/>
  <c r="G312" i="1"/>
  <c r="G315" i="1"/>
  <c r="G316" i="1" s="1"/>
  <c r="G308" i="1"/>
  <c r="G309" i="1" s="1"/>
  <c r="G172" i="1"/>
  <c r="G175" i="1"/>
  <c r="G176" i="1" s="1"/>
  <c r="G210" i="1"/>
  <c r="G211" i="1" s="1"/>
  <c r="G207" i="1"/>
  <c r="G193" i="1"/>
  <c r="G200" i="1"/>
  <c r="G186" i="1"/>
  <c r="G179" i="1"/>
  <c r="G38" i="1"/>
  <c r="G163" i="1"/>
  <c r="G46" i="1"/>
  <c r="G49" i="1"/>
  <c r="G50" i="1" s="1"/>
  <c r="G67" i="1"/>
  <c r="G70" i="1"/>
  <c r="G71" i="1" s="1"/>
  <c r="G81" i="1"/>
  <c r="G74" i="1"/>
  <c r="G60" i="1"/>
  <c r="G53" i="1"/>
  <c r="G15" i="1"/>
  <c r="G16" i="1"/>
  <c r="G26" i="1"/>
  <c r="G23" i="1"/>
  <c r="G25" i="1"/>
  <c r="G151" i="1"/>
  <c r="G149" i="1"/>
  <c r="G152" i="1"/>
  <c r="G268" i="1"/>
  <c r="G265" i="1"/>
  <c r="G267" i="1"/>
  <c r="G288" i="1"/>
  <c r="G285" i="1"/>
  <c r="G287" i="1"/>
  <c r="G393" i="1"/>
  <c r="G391" i="1"/>
  <c r="G394" i="1"/>
  <c r="G534" i="1"/>
  <c r="G535" i="1"/>
  <c r="G532" i="1"/>
  <c r="G537" i="1"/>
  <c r="G540" i="1"/>
  <c r="G157" i="1"/>
  <c r="G154" i="1"/>
  <c r="G156" i="1"/>
  <c r="G272" i="1"/>
  <c r="G273" i="1"/>
  <c r="G403" i="1"/>
  <c r="G404" i="1"/>
  <c r="G383" i="1"/>
  <c r="G384" i="1"/>
  <c r="G161" i="1"/>
  <c r="G162" i="1"/>
  <c r="G141" i="1"/>
  <c r="G142" i="1"/>
  <c r="G270" i="1"/>
  <c r="G30" i="1"/>
  <c r="G31" i="1"/>
  <c r="G137" i="1"/>
  <c r="G134" i="1"/>
  <c r="G136" i="1"/>
  <c r="G386" i="1"/>
  <c r="G389" i="1"/>
  <c r="G399" i="1"/>
  <c r="G396" i="1"/>
  <c r="G398" i="1"/>
  <c r="G524" i="1"/>
  <c r="G522" i="1"/>
  <c r="G275" i="1"/>
  <c r="G278" i="1"/>
  <c r="G255" i="1"/>
  <c r="G258" i="1"/>
  <c r="G159" i="1"/>
  <c r="G277" i="1"/>
  <c r="G539" i="1"/>
  <c r="G282" i="1"/>
  <c r="G280" i="1"/>
  <c r="G510" i="1"/>
  <c r="G507" i="1"/>
  <c r="G509" i="1"/>
  <c r="G519" i="1"/>
  <c r="G517" i="1"/>
  <c r="G530" i="1"/>
  <c r="G527" i="1"/>
  <c r="G529" i="1"/>
  <c r="G413" i="1"/>
  <c r="G411" i="1"/>
  <c r="G131" i="1"/>
  <c r="G129" i="1"/>
  <c r="G8" i="1"/>
  <c r="G139" i="1"/>
  <c r="G257" i="1"/>
  <c r="G283" i="1"/>
  <c r="G401" i="1"/>
  <c r="G520" i="1"/>
  <c r="G20" i="1"/>
  <c r="G18" i="1"/>
  <c r="G144" i="1"/>
  <c r="G147" i="1"/>
  <c r="G262" i="1"/>
  <c r="G260" i="1"/>
  <c r="G6" i="1"/>
  <c r="G5" i="1"/>
  <c r="G406" i="1"/>
  <c r="G409" i="1"/>
  <c r="G515" i="1"/>
  <c r="G514" i="1"/>
  <c r="G33" i="1"/>
  <c r="G36" i="1"/>
  <c r="G10" i="1"/>
  <c r="G28" i="1"/>
  <c r="G146" i="1"/>
  <c r="G263" i="1"/>
  <c r="G381" i="1"/>
  <c r="G408" i="1"/>
  <c r="G525" i="1"/>
  <c r="G110" i="1" l="1"/>
  <c r="F112" i="1"/>
  <c r="G112" i="1" s="1"/>
  <c r="F120" i="1"/>
  <c r="G120" i="1" s="1"/>
  <c r="G116" i="1"/>
  <c r="F119" i="1"/>
  <c r="G119" i="1" s="1"/>
  <c r="F101" i="1"/>
  <c r="G101" i="1" s="1"/>
  <c r="G98" i="1"/>
  <c r="F102" i="1"/>
  <c r="G102" i="1" s="1"/>
  <c r="F100" i="1"/>
  <c r="G100" i="1" s="1"/>
  <c r="F114" i="1"/>
  <c r="G114" i="1" s="1"/>
  <c r="F107" i="1"/>
  <c r="G107" i="1" s="1"/>
  <c r="F106" i="1"/>
  <c r="G106" i="1" s="1"/>
  <c r="G104" i="1"/>
  <c r="F108" i="1"/>
  <c r="G108" i="1" s="1"/>
  <c r="F113" i="1"/>
  <c r="G113" i="1" s="1"/>
  <c r="G164" i="1"/>
  <c r="G39" i="1"/>
  <c r="G42" i="1"/>
  <c r="G43" i="1" s="1"/>
  <c r="G165" i="1" l="1"/>
  <c r="G168" i="1"/>
  <c r="G169" i="1" s="1"/>
  <c r="H39" i="1" l="1"/>
  <c r="H42" i="1"/>
  <c r="H38" i="1"/>
  <c r="H43" i="1"/>
</calcChain>
</file>

<file path=xl/sharedStrings.xml><?xml version="1.0" encoding="utf-8"?>
<sst xmlns="http://schemas.openxmlformats.org/spreadsheetml/2006/main" count="3498" uniqueCount="148">
  <si>
    <t>Mode</t>
  </si>
  <si>
    <t>Product group</t>
  </si>
  <si>
    <t>Vehicle type</t>
  </si>
  <si>
    <t>Fuel</t>
  </si>
  <si>
    <t>Year</t>
  </si>
  <si>
    <t>Emissions (gCO2/Tkm)</t>
  </si>
  <si>
    <t>Road</t>
  </si>
  <si>
    <t>Dry bulk</t>
  </si>
  <si>
    <t>Dry bulk truck</t>
  </si>
  <si>
    <t>Diesel</t>
  </si>
  <si>
    <t>Battery electric</t>
  </si>
  <si>
    <t>Hydrogen</t>
  </si>
  <si>
    <t>Biodiesel</t>
  </si>
  <si>
    <t>Biogas</t>
  </si>
  <si>
    <t>General cargo</t>
  </si>
  <si>
    <t>Articulated semi, containers</t>
  </si>
  <si>
    <t>Fish</t>
  </si>
  <si>
    <t>Termo truck</t>
  </si>
  <si>
    <t>Industrial goods</t>
  </si>
  <si>
    <t>Articulated semi closed</t>
  </si>
  <si>
    <t>Timber</t>
  </si>
  <si>
    <t>Timber truck with hanger</t>
  </si>
  <si>
    <t>Wet bulk</t>
  </si>
  <si>
    <t>Tank truck distance</t>
  </si>
  <si>
    <t>Dry bulk 9000 dwt</t>
  </si>
  <si>
    <t>MGO</t>
  </si>
  <si>
    <t>LNG</t>
  </si>
  <si>
    <t>Ammonia</t>
  </si>
  <si>
    <t>Biodiesel (HVO)</t>
  </si>
  <si>
    <t>Container lo/lo 8500 dwt</t>
  </si>
  <si>
    <t>Break bulk Lo/lo, 2500dwt</t>
  </si>
  <si>
    <t>Tanker vessel 17000 dwt</t>
  </si>
  <si>
    <t>Rail</t>
  </si>
  <si>
    <t>System trains (dry bulk)</t>
  </si>
  <si>
    <t>Electric train (CL)</t>
  </si>
  <si>
    <t xml:space="preserve">Hybrid </t>
  </si>
  <si>
    <t>Battery train</t>
  </si>
  <si>
    <t>Combi trains</t>
  </si>
  <si>
    <t>Timber trains</t>
  </si>
  <si>
    <t>System trains (wet bulk)</t>
  </si>
  <si>
    <t>Sea</t>
  </si>
  <si>
    <t>Euro to NOK</t>
  </si>
  <si>
    <t>Kurs 30.03.22</t>
  </si>
  <si>
    <t>https://www.vegvesen.no/contentassets/f23892ffef4e43548ae6935926ad4a6c/transport-costing-framework.pdf</t>
  </si>
  <si>
    <t>HFO</t>
  </si>
  <si>
    <r>
      <t>Cost (</t>
    </r>
    <r>
      <rPr>
        <b/>
        <sz val="11"/>
        <color theme="1"/>
        <rFont val="Calibri"/>
        <family val="2"/>
      </rPr>
      <t>€</t>
    </r>
    <r>
      <rPr>
        <b/>
        <sz val="11"/>
        <color theme="1"/>
        <rFont val="Calibri"/>
        <family val="2"/>
        <scheme val="minor"/>
      </rPr>
      <t>/Tkm)</t>
    </r>
  </si>
  <si>
    <t>Skal hydrogen og ammoniakk være mulig på skip i 2025?</t>
  </si>
  <si>
    <t>Diesel timber train: 0,0196</t>
  </si>
  <si>
    <t>https://www.toi.no/getfile.php?mmfileid=51267</t>
  </si>
  <si>
    <t>http://lipasto.vtt.fi/yksikkopaastot/tavaraliikennee/raideliikennee/konttidiesele.htm</t>
  </si>
  <si>
    <t>https://dinside.dagbladet.no/reise/en-helt-ny-hverdag-for-togreisende/74166531</t>
  </si>
  <si>
    <t>https://banenor.brage.unit.no/banenor-xmlui/bitstream/handle/11250/155405/101019_ocr_red.pdf?sequence=1&amp;isAllowed=y</t>
  </si>
  <si>
    <t>http://lipasto.vtt.fi/yksikkopaastot/tavaraliikennee/raideliikennee/tavarakaikkie.htm</t>
  </si>
  <si>
    <t>http://lipasto.vtt.fi/yksikkopaastot/tavaraliikennee/vesiliikennee/tankkerie.htm</t>
  </si>
  <si>
    <t>moz-extension://34e6d9d9-33b7-4b72-ac17-9189841c128a/enhanced-reader.html?openApp&amp;pdf=https%3A%2F%2Flink.springer.com%2Fcontent%2Fpdf%2F10.1007%2Fs40868-019-00059-y.pdf</t>
  </si>
  <si>
    <t>Cost (NOK/Tkm)</t>
  </si>
  <si>
    <t>https://www.ssb.no/transport-og-reiseliv/artikler-og-publikasjoner/mindre-utslipp-per-kjorte-kilometer</t>
  </si>
  <si>
    <t>3 år</t>
  </si>
  <si>
    <t>8 år</t>
  </si>
  <si>
    <t>18 år</t>
  </si>
  <si>
    <t>28 år</t>
  </si>
  <si>
    <t>0,2% årlig forbedring i dieselforbruk/utslipp</t>
  </si>
  <si>
    <t>0,7% årlig forbedring</t>
  </si>
  <si>
    <t>Klimatiltak innen godstransport - Menon</t>
  </si>
  <si>
    <t>Kilder/kommentarer</t>
  </si>
  <si>
    <t>Other thermo</t>
  </si>
  <si>
    <t>CO2 fee scenario 2 (nok/gCO2)</t>
  </si>
  <si>
    <t>CO2 fee base scenario (nok/gCO2)</t>
  </si>
  <si>
    <t>CO2 fee scenario 3 (nok/gCO2)</t>
  </si>
  <si>
    <t>Cost - høy (+25%)</t>
  </si>
  <si>
    <t>Cost - lav (-25%)</t>
  </si>
  <si>
    <t>Product</t>
  </si>
  <si>
    <t>Transfer type</t>
  </si>
  <si>
    <t>Transfer cost</t>
  </si>
  <si>
    <t>sea-rail</t>
  </si>
  <si>
    <t>sea-road</t>
  </si>
  <si>
    <t>rail-road</t>
  </si>
  <si>
    <t>Fuels based on onshore wind power (resulting in medium-transport cost, use of wind offshore results in higher, use of hydro power in lower fuel/transport cost)</t>
  </si>
  <si>
    <t>40 t Semi-Trucking</t>
  </si>
  <si>
    <t>25 t payload</t>
  </si>
  <si>
    <t>120,000 km/a</t>
  </si>
  <si>
    <t xml:space="preserve">Costs included: </t>
  </si>
  <si>
    <t>Capex truck</t>
  </si>
  <si>
    <t>Capex trailer</t>
  </si>
  <si>
    <t>Insurance, fees</t>
  </si>
  <si>
    <t>Driver salary</t>
  </si>
  <si>
    <t>Travel expenses</t>
  </si>
  <si>
    <t>General expenses</t>
  </si>
  <si>
    <t xml:space="preserve">Road toll </t>
  </si>
  <si>
    <t>R&amp;M, tyres</t>
  </si>
  <si>
    <t>Fuel cost (incl. Fuel station, see the share below!)</t>
  </si>
  <si>
    <t>Year of invest</t>
  </si>
  <si>
    <t>Scenario</t>
  </si>
  <si>
    <t>BC</t>
  </si>
  <si>
    <t>AC</t>
  </si>
  <si>
    <t>WC</t>
  </si>
  <si>
    <t>Costs per km</t>
  </si>
  <si>
    <t>€/km</t>
  </si>
  <si>
    <t>Costs per Tkm (incl. Trailer)</t>
  </si>
  <si>
    <t>€/Tkm</t>
  </si>
  <si>
    <t>Hydrogen-FC</t>
  </si>
  <si>
    <t>Synthetic diesel /eFuel - ICE</t>
  </si>
  <si>
    <t>Share of fuel station for Trucking</t>
  </si>
  <si>
    <t>fossil Diesel</t>
  </si>
  <si>
    <t>eHydrogen</t>
  </si>
  <si>
    <t>eFuel</t>
  </si>
  <si>
    <t>9450 DWT short-sea vessel</t>
  </si>
  <si>
    <t>Payload 9450 t</t>
  </si>
  <si>
    <t>152,011 km/a</t>
  </si>
  <si>
    <t>Capex vessel</t>
  </si>
  <si>
    <t>Crew salary</t>
  </si>
  <si>
    <t>Maintenance</t>
  </si>
  <si>
    <t>Insurance</t>
  </si>
  <si>
    <t>Fuel cost</t>
  </si>
  <si>
    <t>Lubricitation oil</t>
  </si>
  <si>
    <t>Port fee/Cargo handling</t>
  </si>
  <si>
    <t xml:space="preserve">Mooring fee </t>
  </si>
  <si>
    <t>Heavy Fuel Oil - ICE</t>
  </si>
  <si>
    <t>Hydrogen - FC</t>
  </si>
  <si>
    <t>Ammonia - FC</t>
  </si>
  <si>
    <t>Synthetic marine oil /eFuel - ICE</t>
  </si>
  <si>
    <t>Road: initial costs based on 40 t semi-truck. All other vehices have same cost/km for a full truck load. Only capacity varies</t>
  </si>
  <si>
    <t>Sea: same as above, but standard vehicle is 9450 DWT short-sea vessel.</t>
  </si>
  <si>
    <t xml:space="preserve">Road: cost of fueling infrastructure subtracted, since this is a separate element in our model </t>
  </si>
  <si>
    <t>Rail: no data from Jonas. (what is done?)</t>
  </si>
  <si>
    <t>Average case (AC) used for the cost from Jonas</t>
  </si>
  <si>
    <t>road</t>
  </si>
  <si>
    <t>diesel</t>
  </si>
  <si>
    <t>hydrogen</t>
  </si>
  <si>
    <t>efuel</t>
  </si>
  <si>
    <t>sea</t>
  </si>
  <si>
    <t>ammonia</t>
  </si>
  <si>
    <t>Fuel station cost per km</t>
  </si>
  <si>
    <t>lcot/km (without fuel station cost for road)</t>
  </si>
  <si>
    <t>lcot/km (raw)</t>
  </si>
  <si>
    <t>Vehicle</t>
  </si>
  <si>
    <t>Capacity (tonnes)</t>
  </si>
  <si>
    <t>Cost factors</t>
  </si>
  <si>
    <t>Relative to</t>
  </si>
  <si>
    <t>Factor</t>
  </si>
  <si>
    <t>Source</t>
  </si>
  <si>
    <t>Comment</t>
  </si>
  <si>
    <t>Why not efuel from Jonas' data?</t>
  </si>
  <si>
    <t>…</t>
  </si>
  <si>
    <t>Fuels with their own cost data: Road - diesel, hydrogen, (efuel); Sea - HFO, hydrogen, ammonia, (efuel); Rail - ?</t>
  </si>
  <si>
    <t>EUR to NOK</t>
  </si>
  <si>
    <t>Formula: ([lcot per km] - [fuel cost])/[vehicle capacity] * [rel. cost factor per fuel] * [EUR to NOK]</t>
  </si>
  <si>
    <t>(DO THIS IN PYTHON INSTEAD OF EXCEL)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</si>
</sst>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00"/>
    <numFmt numFmtId="167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5" fontId="0" fillId="4" borderId="1" xfId="0" applyNumberFormat="1" applyFill="1" applyBorder="1"/>
    <xf numFmtId="0" fontId="4" fillId="0" borderId="0" xfId="2"/>
    <xf numFmtId="164" fontId="0" fillId="2" borderId="1" xfId="1" applyFont="1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5" fillId="6" borderId="0" xfId="0" applyFont="1" applyFill="1"/>
    <xf numFmtId="0" fontId="0" fillId="6" borderId="0" xfId="0" applyFill="1"/>
    <xf numFmtId="0" fontId="6" fillId="7" borderId="0" xfId="0" applyFont="1" applyFill="1"/>
    <xf numFmtId="0" fontId="0" fillId="7" borderId="0" xfId="0" applyFill="1"/>
    <xf numFmtId="0" fontId="7" fillId="7" borderId="0" xfId="0" applyFont="1" applyFill="1"/>
    <xf numFmtId="0" fontId="8" fillId="6" borderId="0" xfId="0" applyFont="1" applyFill="1"/>
    <xf numFmtId="0" fontId="0" fillId="6" borderId="10" xfId="0" applyFill="1" applyBorder="1"/>
    <xf numFmtId="0" fontId="0" fillId="0" borderId="10" xfId="0" applyBorder="1"/>
    <xf numFmtId="166" fontId="0" fillId="0" borderId="10" xfId="0" applyNumberFormat="1" applyBorder="1"/>
    <xf numFmtId="166" fontId="0" fillId="6" borderId="10" xfId="0" applyNumberFormat="1" applyFill="1" applyBorder="1"/>
    <xf numFmtId="167" fontId="0" fillId="6" borderId="10" xfId="0" applyNumberFormat="1" applyFill="1" applyBorder="1"/>
    <xf numFmtId="0" fontId="0" fillId="0" borderId="0" xfId="0" applyFont="1"/>
    <xf numFmtId="166" fontId="0" fillId="0" borderId="0" xfId="0" applyNumberFormat="1" applyFont="1"/>
    <xf numFmtId="166" fontId="0" fillId="6" borderId="0" xfId="0" applyNumberFormat="1" applyFill="1" applyBorder="1"/>
    <xf numFmtId="0" fontId="1" fillId="0" borderId="0" xfId="0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oi.no/getfile.php?mmfileid=5126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F70C-1634-4B80-BD59-B77731E4E671}">
  <sheetPr codeName="Sheet1"/>
  <dimension ref="A1:R631"/>
  <sheetViews>
    <sheetView topLeftCell="E1" zoomScale="81" zoomScaleNormal="60" workbookViewId="0">
      <selection activeCell="Q2" sqref="Q2"/>
    </sheetView>
  </sheetViews>
  <sheetFormatPr defaultColWidth="8.88671875" defaultRowHeight="14.4" x14ac:dyDescent="0.3"/>
  <cols>
    <col min="2" max="2" width="16.44140625" customWidth="1"/>
    <col min="3" max="3" width="24.88671875" customWidth="1"/>
    <col min="4" max="4" width="15.109375" customWidth="1"/>
    <col min="6" max="7" width="16" customWidth="1"/>
    <col min="8" max="8" width="28.109375" bestFit="1" customWidth="1"/>
    <col min="9" max="9" width="41.44140625" bestFit="1" customWidth="1"/>
    <col min="10" max="10" width="22.88671875" customWidth="1"/>
    <col min="11" max="11" width="27.33203125" customWidth="1"/>
    <col min="12" max="12" width="26.88671875" customWidth="1"/>
    <col min="13" max="13" width="15.1093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1" t="s">
        <v>55</v>
      </c>
      <c r="H1" s="1" t="s">
        <v>5</v>
      </c>
      <c r="I1" s="1" t="s">
        <v>67</v>
      </c>
      <c r="J1" s="1" t="s">
        <v>66</v>
      </c>
      <c r="K1" s="1" t="s">
        <v>68</v>
      </c>
      <c r="L1" s="1" t="s">
        <v>69</v>
      </c>
      <c r="M1" s="1" t="s">
        <v>70</v>
      </c>
      <c r="N1" s="1" t="s">
        <v>64</v>
      </c>
      <c r="Q1" t="s">
        <v>41</v>
      </c>
    </row>
    <row r="2" spans="1:18" x14ac:dyDescent="0.3">
      <c r="A2" t="s">
        <v>6</v>
      </c>
      <c r="B2" t="s">
        <v>7</v>
      </c>
      <c r="C2" t="s">
        <v>8</v>
      </c>
      <c r="D2" t="s">
        <v>9</v>
      </c>
      <c r="E2">
        <v>2020</v>
      </c>
      <c r="F2">
        <f>1.259/18.4</f>
        <v>6.8423913043478266E-2</v>
      </c>
      <c r="G2" s="2">
        <f>F2*$Q$2</f>
        <v>0.65892228260869579</v>
      </c>
      <c r="H2" s="2">
        <f>1274/18.4</f>
        <v>69.239130434782609</v>
      </c>
      <c r="I2" s="8">
        <v>5.44E-4</v>
      </c>
      <c r="J2" s="8">
        <v>5.44E-4</v>
      </c>
      <c r="K2" s="8">
        <v>5.44E-4</v>
      </c>
      <c r="L2">
        <v>0.65892228259999996</v>
      </c>
      <c r="M2">
        <v>0.65892228259999996</v>
      </c>
      <c r="N2" s="6" t="s">
        <v>48</v>
      </c>
      <c r="Q2">
        <v>9.6300000000000008</v>
      </c>
      <c r="R2" t="s">
        <v>42</v>
      </c>
    </row>
    <row r="3" spans="1:18" x14ac:dyDescent="0.3">
      <c r="A3" t="s">
        <v>6</v>
      </c>
      <c r="B3" t="s">
        <v>7</v>
      </c>
      <c r="C3" t="s">
        <v>8</v>
      </c>
      <c r="D3" t="s">
        <v>10</v>
      </c>
      <c r="E3">
        <v>2020</v>
      </c>
      <c r="G3" s="2">
        <f>G2*1.3</f>
        <v>0.85659896739130459</v>
      </c>
      <c r="H3" s="2">
        <v>0</v>
      </c>
      <c r="I3" s="8">
        <v>5.44E-4</v>
      </c>
      <c r="J3" s="8">
        <v>5.44E-4</v>
      </c>
      <c r="K3" s="8">
        <v>5.44E-4</v>
      </c>
      <c r="L3">
        <v>1.0707487090000001</v>
      </c>
      <c r="M3">
        <v>0.64244922550000005</v>
      </c>
    </row>
    <row r="4" spans="1:18" x14ac:dyDescent="0.3">
      <c r="A4" t="s">
        <v>6</v>
      </c>
      <c r="B4" t="s">
        <v>7</v>
      </c>
      <c r="C4" t="s">
        <v>8</v>
      </c>
      <c r="D4" t="s">
        <v>11</v>
      </c>
      <c r="E4">
        <v>2020</v>
      </c>
      <c r="F4">
        <f>2.0503/18.4</f>
        <v>0.11142934782608696</v>
      </c>
      <c r="G4" s="2">
        <f t="shared" ref="G4:G72" si="0">F4*$Q$2</f>
        <v>1.0730646195652176</v>
      </c>
      <c r="H4" s="2">
        <v>0</v>
      </c>
      <c r="I4" s="8">
        <v>5.44E-4</v>
      </c>
      <c r="J4" s="8">
        <v>5.44E-4</v>
      </c>
      <c r="K4" s="8">
        <v>5.44E-4</v>
      </c>
      <c r="L4">
        <v>1.341330774</v>
      </c>
      <c r="M4">
        <v>0.80479846470000005</v>
      </c>
      <c r="Q4" t="s">
        <v>9</v>
      </c>
      <c r="R4" t="s">
        <v>61</v>
      </c>
    </row>
    <row r="5" spans="1:18" x14ac:dyDescent="0.3">
      <c r="A5" t="s">
        <v>6</v>
      </c>
      <c r="B5" t="s">
        <v>7</v>
      </c>
      <c r="C5" t="s">
        <v>8</v>
      </c>
      <c r="D5" t="s">
        <v>12</v>
      </c>
      <c r="E5">
        <v>2020</v>
      </c>
      <c r="G5" s="2">
        <f>G2*1.06</f>
        <v>0.69845761956521757</v>
      </c>
      <c r="H5" s="2">
        <f>((127+217)/2)/18.4</f>
        <v>9.3478260869565233</v>
      </c>
      <c r="I5" s="8">
        <v>5.44E-4</v>
      </c>
      <c r="J5" s="8">
        <v>5.44E-4</v>
      </c>
      <c r="K5" s="8">
        <v>5.44E-4</v>
      </c>
      <c r="L5">
        <v>0.87307202449999999</v>
      </c>
      <c r="M5">
        <v>0.52384321469999995</v>
      </c>
      <c r="P5">
        <v>2025</v>
      </c>
      <c r="Q5" t="s">
        <v>57</v>
      </c>
      <c r="R5">
        <f>(0.998)^3</f>
        <v>0.99401199200000001</v>
      </c>
    </row>
    <row r="6" spans="1:18" x14ac:dyDescent="0.3">
      <c r="A6" t="s">
        <v>6</v>
      </c>
      <c r="B6" t="s">
        <v>7</v>
      </c>
      <c r="C6" t="s">
        <v>8</v>
      </c>
      <c r="D6" t="s">
        <v>13</v>
      </c>
      <c r="E6">
        <v>2020</v>
      </c>
      <c r="G6" s="2">
        <f>G2*1.12</f>
        <v>0.73799295652173935</v>
      </c>
      <c r="H6" s="7">
        <f>156/18.4</f>
        <v>8.4782608695652186</v>
      </c>
      <c r="I6" s="8">
        <v>5.44E-4</v>
      </c>
      <c r="J6" s="8">
        <v>5.44E-4</v>
      </c>
      <c r="K6" s="8">
        <v>5.44E-4</v>
      </c>
      <c r="L6">
        <v>0.92249119570000004</v>
      </c>
      <c r="M6">
        <v>0.5534947174</v>
      </c>
      <c r="P6">
        <v>2030</v>
      </c>
      <c r="Q6" t="s">
        <v>58</v>
      </c>
      <c r="R6">
        <f>(0.998)^8</f>
        <v>0.98411155311820986</v>
      </c>
    </row>
    <row r="7" spans="1:18" x14ac:dyDescent="0.3">
      <c r="A7" t="s">
        <v>6</v>
      </c>
      <c r="B7" t="s">
        <v>14</v>
      </c>
      <c r="C7" t="s">
        <v>15</v>
      </c>
      <c r="D7" t="s">
        <v>9</v>
      </c>
      <c r="E7">
        <v>2020</v>
      </c>
      <c r="F7">
        <f>1.259/33</f>
        <v>3.8151515151515152E-2</v>
      </c>
      <c r="G7" s="2">
        <f t="shared" si="0"/>
        <v>0.36739909090909095</v>
      </c>
      <c r="H7" s="2">
        <f>1274/33</f>
        <v>38.606060606060609</v>
      </c>
      <c r="I7" s="8">
        <v>5.44E-4</v>
      </c>
      <c r="J7" s="8">
        <v>5.44E-4</v>
      </c>
      <c r="K7" s="8">
        <v>5.44E-4</v>
      </c>
      <c r="L7">
        <v>0.3673990909</v>
      </c>
      <c r="M7">
        <v>0.3673990909</v>
      </c>
      <c r="P7">
        <v>2040</v>
      </c>
      <c r="Q7" t="s">
        <v>59</v>
      </c>
      <c r="R7">
        <f>(0.998)^18</f>
        <v>0.96460552068700811</v>
      </c>
    </row>
    <row r="8" spans="1:18" x14ac:dyDescent="0.3">
      <c r="A8" t="s">
        <v>6</v>
      </c>
      <c r="B8" t="s">
        <v>14</v>
      </c>
      <c r="C8" t="s">
        <v>15</v>
      </c>
      <c r="D8" t="s">
        <v>10</v>
      </c>
      <c r="E8">
        <v>2020</v>
      </c>
      <c r="G8" s="2">
        <f>G7*1.3</f>
        <v>0.47761881818181823</v>
      </c>
      <c r="H8" s="2">
        <v>0</v>
      </c>
      <c r="I8" s="8">
        <v>5.44E-4</v>
      </c>
      <c r="J8" s="8">
        <v>5.44E-4</v>
      </c>
      <c r="K8" s="8">
        <v>5.44E-4</v>
      </c>
      <c r="L8">
        <v>0.59702352270000003</v>
      </c>
      <c r="M8">
        <v>0.35821411359999999</v>
      </c>
      <c r="P8">
        <v>2050</v>
      </c>
      <c r="Q8" t="s">
        <v>60</v>
      </c>
      <c r="R8">
        <f>(0.998)^28</f>
        <v>0.94548611647900083</v>
      </c>
    </row>
    <row r="9" spans="1:18" x14ac:dyDescent="0.3">
      <c r="A9" t="s">
        <v>6</v>
      </c>
      <c r="B9" t="s">
        <v>14</v>
      </c>
      <c r="C9" t="s">
        <v>15</v>
      </c>
      <c r="D9" t="s">
        <v>11</v>
      </c>
      <c r="E9">
        <v>2020</v>
      </c>
      <c r="F9">
        <f>2.0503/33</f>
        <v>6.2130303030303029E-2</v>
      </c>
      <c r="G9" s="2">
        <f t="shared" si="0"/>
        <v>0.5983148181818182</v>
      </c>
      <c r="H9" s="2">
        <v>0</v>
      </c>
      <c r="I9" s="8">
        <v>5.44E-4</v>
      </c>
      <c r="J9" s="8">
        <v>5.44E-4</v>
      </c>
      <c r="K9" s="8">
        <v>5.44E-4</v>
      </c>
      <c r="L9">
        <v>0.74789352269999998</v>
      </c>
      <c r="M9">
        <v>0.44873611359999999</v>
      </c>
    </row>
    <row r="10" spans="1:18" x14ac:dyDescent="0.3">
      <c r="A10" t="s">
        <v>6</v>
      </c>
      <c r="B10" t="s">
        <v>14</v>
      </c>
      <c r="C10" t="s">
        <v>15</v>
      </c>
      <c r="D10" t="s">
        <v>12</v>
      </c>
      <c r="E10">
        <v>2020</v>
      </c>
      <c r="G10" s="2">
        <f>G7*1.06</f>
        <v>0.38944303636363642</v>
      </c>
      <c r="H10" s="2">
        <f>((127+217)/2)/33</f>
        <v>5.2121212121212119</v>
      </c>
      <c r="I10" s="8">
        <v>5.44E-4</v>
      </c>
      <c r="J10" s="8">
        <v>5.44E-4</v>
      </c>
      <c r="K10" s="8">
        <v>5.44E-4</v>
      </c>
      <c r="L10">
        <v>0.48680379550000002</v>
      </c>
      <c r="M10">
        <v>0.29208227730000003</v>
      </c>
      <c r="R10" t="s">
        <v>62</v>
      </c>
    </row>
    <row r="11" spans="1:18" x14ac:dyDescent="0.3">
      <c r="A11" t="s">
        <v>6</v>
      </c>
      <c r="B11" t="s">
        <v>14</v>
      </c>
      <c r="C11" t="s">
        <v>15</v>
      </c>
      <c r="D11" t="s">
        <v>13</v>
      </c>
      <c r="E11">
        <v>2020</v>
      </c>
      <c r="G11" s="2">
        <f>G7*1.12</f>
        <v>0.41148698181818189</v>
      </c>
      <c r="H11" s="2">
        <f>156/33</f>
        <v>4.7272727272727275</v>
      </c>
      <c r="I11" s="8">
        <v>5.44E-4</v>
      </c>
      <c r="J11" s="8">
        <v>5.44E-4</v>
      </c>
      <c r="K11" s="8">
        <v>5.44E-4</v>
      </c>
      <c r="L11">
        <v>0.51435872729999998</v>
      </c>
      <c r="M11">
        <v>0.30861523639999999</v>
      </c>
      <c r="P11">
        <v>2025</v>
      </c>
      <c r="Q11" t="s">
        <v>57</v>
      </c>
      <c r="R11">
        <f>(0.993)^3</f>
        <v>0.97914665699999992</v>
      </c>
    </row>
    <row r="12" spans="1:18" x14ac:dyDescent="0.3">
      <c r="A12" t="s">
        <v>6</v>
      </c>
      <c r="B12" t="s">
        <v>16</v>
      </c>
      <c r="C12" t="s">
        <v>17</v>
      </c>
      <c r="D12" t="s">
        <v>9</v>
      </c>
      <c r="E12">
        <v>2020</v>
      </c>
      <c r="F12">
        <f>1.259/33</f>
        <v>3.8151515151515152E-2</v>
      </c>
      <c r="G12" s="2">
        <f t="shared" si="0"/>
        <v>0.36739909090909095</v>
      </c>
      <c r="H12" s="2">
        <f>1274/33</f>
        <v>38.606060606060609</v>
      </c>
      <c r="I12" s="8">
        <v>5.44E-4</v>
      </c>
      <c r="J12" s="8">
        <v>5.44E-4</v>
      </c>
      <c r="K12" s="8">
        <v>5.44E-4</v>
      </c>
      <c r="L12">
        <v>0.3673990909</v>
      </c>
      <c r="M12">
        <v>0.3673990909</v>
      </c>
      <c r="P12">
        <v>2030</v>
      </c>
      <c r="Q12" t="s">
        <v>58</v>
      </c>
      <c r="R12">
        <f>(0.993)^8</f>
        <v>0.94535295913209538</v>
      </c>
    </row>
    <row r="13" spans="1:18" x14ac:dyDescent="0.3">
      <c r="A13" t="s">
        <v>6</v>
      </c>
      <c r="B13" t="s">
        <v>16</v>
      </c>
      <c r="C13" t="s">
        <v>17</v>
      </c>
      <c r="D13" t="s">
        <v>10</v>
      </c>
      <c r="E13">
        <v>2020</v>
      </c>
      <c r="G13" s="2">
        <f>G12*1.3</f>
        <v>0.47761881818181823</v>
      </c>
      <c r="H13" s="2">
        <v>0</v>
      </c>
      <c r="I13" s="8">
        <v>5.44E-4</v>
      </c>
      <c r="J13" s="8">
        <v>5.44E-4</v>
      </c>
      <c r="K13" s="8">
        <v>5.44E-4</v>
      </c>
      <c r="L13">
        <v>0.59702352270000003</v>
      </c>
      <c r="M13">
        <v>0.35821411359999999</v>
      </c>
      <c r="P13">
        <v>2040</v>
      </c>
      <c r="Q13" t="s">
        <v>59</v>
      </c>
      <c r="R13">
        <f>(0.993)^18</f>
        <v>0.88122431721570149</v>
      </c>
    </row>
    <row r="14" spans="1:18" x14ac:dyDescent="0.3">
      <c r="A14" t="s">
        <v>6</v>
      </c>
      <c r="B14" t="s">
        <v>16</v>
      </c>
      <c r="C14" t="s">
        <v>17</v>
      </c>
      <c r="D14" t="s">
        <v>11</v>
      </c>
      <c r="E14">
        <v>2020</v>
      </c>
      <c r="F14">
        <f>2.0503/33</f>
        <v>6.2130303030303029E-2</v>
      </c>
      <c r="G14" s="2">
        <f t="shared" si="0"/>
        <v>0.5983148181818182</v>
      </c>
      <c r="H14" s="2">
        <v>0</v>
      </c>
      <c r="I14" s="8">
        <v>5.44E-4</v>
      </c>
      <c r="J14" s="8">
        <v>5.44E-4</v>
      </c>
      <c r="K14" s="8">
        <v>5.44E-4</v>
      </c>
      <c r="L14">
        <v>0.74789352269999998</v>
      </c>
      <c r="M14">
        <v>0.44873611359999999</v>
      </c>
      <c r="P14">
        <v>2050</v>
      </c>
      <c r="Q14" t="s">
        <v>60</v>
      </c>
      <c r="R14">
        <f>(0.993)^28</f>
        <v>0.82144588404865837</v>
      </c>
    </row>
    <row r="15" spans="1:18" x14ac:dyDescent="0.3">
      <c r="A15" t="s">
        <v>6</v>
      </c>
      <c r="B15" t="s">
        <v>16</v>
      </c>
      <c r="C15" t="s">
        <v>17</v>
      </c>
      <c r="D15" t="s">
        <v>12</v>
      </c>
      <c r="E15">
        <v>2020</v>
      </c>
      <c r="G15" s="2">
        <f>G12*1.06</f>
        <v>0.38944303636363642</v>
      </c>
      <c r="H15" s="2">
        <f>((127+217)/2)/33</f>
        <v>5.2121212121212119</v>
      </c>
      <c r="I15" s="8">
        <v>5.44E-4</v>
      </c>
      <c r="J15" s="8">
        <v>5.44E-4</v>
      </c>
      <c r="K15" s="8">
        <v>5.44E-4</v>
      </c>
      <c r="L15">
        <v>0.48680379550000002</v>
      </c>
      <c r="M15">
        <v>0.29208227730000003</v>
      </c>
    </row>
    <row r="16" spans="1:18" x14ac:dyDescent="0.3">
      <c r="A16" t="s">
        <v>6</v>
      </c>
      <c r="B16" t="s">
        <v>16</v>
      </c>
      <c r="C16" t="s">
        <v>17</v>
      </c>
      <c r="D16" t="s">
        <v>13</v>
      </c>
      <c r="E16">
        <v>2020</v>
      </c>
      <c r="G16" s="2">
        <f>G12*1.12</f>
        <v>0.41148698181818189</v>
      </c>
      <c r="H16" s="2">
        <f>156/33</f>
        <v>4.7272727272727275</v>
      </c>
      <c r="I16" s="8">
        <v>5.44E-4</v>
      </c>
      <c r="J16" s="8">
        <v>5.44E-4</v>
      </c>
      <c r="K16" s="8">
        <v>5.44E-4</v>
      </c>
      <c r="L16">
        <v>0.51435872729999998</v>
      </c>
      <c r="M16">
        <v>0.30861523639999999</v>
      </c>
    </row>
    <row r="17" spans="1:14" x14ac:dyDescent="0.3">
      <c r="A17" t="s">
        <v>6</v>
      </c>
      <c r="B17" t="s">
        <v>65</v>
      </c>
      <c r="C17" t="s">
        <v>17</v>
      </c>
      <c r="D17" t="s">
        <v>9</v>
      </c>
      <c r="E17">
        <v>2020</v>
      </c>
      <c r="F17">
        <f>1.259/33</f>
        <v>3.8151515151515152E-2</v>
      </c>
      <c r="G17" s="2">
        <f t="shared" si="0"/>
        <v>0.36739909090909095</v>
      </c>
      <c r="H17" s="2">
        <f>1274/33</f>
        <v>38.606060606060609</v>
      </c>
      <c r="I17" s="8">
        <v>5.44E-4</v>
      </c>
      <c r="J17" s="8">
        <v>5.44E-4</v>
      </c>
      <c r="K17" s="8">
        <v>5.44E-4</v>
      </c>
      <c r="L17">
        <v>0.3673990909</v>
      </c>
      <c r="M17">
        <v>0.3673990909</v>
      </c>
    </row>
    <row r="18" spans="1:14" x14ac:dyDescent="0.3">
      <c r="A18" t="s">
        <v>6</v>
      </c>
      <c r="B18" t="s">
        <v>65</v>
      </c>
      <c r="C18" t="s">
        <v>17</v>
      </c>
      <c r="D18" t="s">
        <v>10</v>
      </c>
      <c r="E18">
        <v>2020</v>
      </c>
      <c r="G18" s="2">
        <f>G17*1.3</f>
        <v>0.47761881818181823</v>
      </c>
      <c r="H18" s="2">
        <v>0</v>
      </c>
      <c r="I18" s="8">
        <v>5.44E-4</v>
      </c>
      <c r="J18" s="8">
        <v>5.44E-4</v>
      </c>
      <c r="K18" s="8">
        <v>5.44E-4</v>
      </c>
      <c r="L18">
        <v>0.59702352270000003</v>
      </c>
      <c r="M18">
        <v>0.35821411359999999</v>
      </c>
    </row>
    <row r="19" spans="1:14" x14ac:dyDescent="0.3">
      <c r="A19" t="s">
        <v>6</v>
      </c>
      <c r="B19" t="s">
        <v>65</v>
      </c>
      <c r="C19" t="s">
        <v>17</v>
      </c>
      <c r="D19" t="s">
        <v>11</v>
      </c>
      <c r="E19">
        <v>2020</v>
      </c>
      <c r="F19">
        <f>2.0503/33</f>
        <v>6.2130303030303029E-2</v>
      </c>
      <c r="G19" s="2">
        <f t="shared" si="0"/>
        <v>0.5983148181818182</v>
      </c>
      <c r="H19" s="2">
        <v>0</v>
      </c>
      <c r="I19" s="8">
        <v>5.44E-4</v>
      </c>
      <c r="J19" s="8">
        <v>5.44E-4</v>
      </c>
      <c r="K19" s="8">
        <v>5.44E-4</v>
      </c>
      <c r="L19">
        <v>0.74789352269999998</v>
      </c>
      <c r="M19">
        <v>0.44873611359999999</v>
      </c>
    </row>
    <row r="20" spans="1:14" x14ac:dyDescent="0.3">
      <c r="A20" t="s">
        <v>6</v>
      </c>
      <c r="B20" t="s">
        <v>65</v>
      </c>
      <c r="C20" t="s">
        <v>17</v>
      </c>
      <c r="D20" t="s">
        <v>12</v>
      </c>
      <c r="E20">
        <v>2020</v>
      </c>
      <c r="G20" s="2">
        <f>G17*1.06</f>
        <v>0.38944303636363642</v>
      </c>
      <c r="H20" s="2">
        <f>((127+217)/2)/33</f>
        <v>5.2121212121212119</v>
      </c>
      <c r="I20" s="8">
        <v>5.44E-4</v>
      </c>
      <c r="J20" s="8">
        <v>5.44E-4</v>
      </c>
      <c r="K20" s="8">
        <v>5.44E-4</v>
      </c>
      <c r="L20">
        <v>0.48680379550000002</v>
      </c>
      <c r="M20">
        <v>0.29208227730000003</v>
      </c>
    </row>
    <row r="21" spans="1:14" x14ac:dyDescent="0.3">
      <c r="A21" t="s">
        <v>6</v>
      </c>
      <c r="B21" t="s">
        <v>65</v>
      </c>
      <c r="C21" t="s">
        <v>17</v>
      </c>
      <c r="D21" t="s">
        <v>13</v>
      </c>
      <c r="E21">
        <v>2020</v>
      </c>
      <c r="G21" s="2">
        <f>G17*1.12</f>
        <v>0.41148698181818189</v>
      </c>
      <c r="H21" s="2">
        <f>156/33</f>
        <v>4.7272727272727275</v>
      </c>
      <c r="I21" s="8">
        <v>5.44E-4</v>
      </c>
      <c r="J21" s="8">
        <v>5.44E-4</v>
      </c>
      <c r="K21" s="8">
        <v>5.44E-4</v>
      </c>
      <c r="L21">
        <v>0.51435872729999998</v>
      </c>
      <c r="M21">
        <v>0.30861523639999999</v>
      </c>
    </row>
    <row r="22" spans="1:14" x14ac:dyDescent="0.3">
      <c r="A22" t="s">
        <v>6</v>
      </c>
      <c r="B22" t="s">
        <v>18</v>
      </c>
      <c r="C22" t="s">
        <v>19</v>
      </c>
      <c r="D22" t="s">
        <v>9</v>
      </c>
      <c r="E22">
        <v>2020</v>
      </c>
      <c r="F22">
        <f>1.259/33</f>
        <v>3.8151515151515152E-2</v>
      </c>
      <c r="G22" s="2">
        <f t="shared" si="0"/>
        <v>0.36739909090909095</v>
      </c>
      <c r="H22" s="2">
        <f>1274/33</f>
        <v>38.606060606060609</v>
      </c>
      <c r="I22" s="8">
        <v>5.44E-4</v>
      </c>
      <c r="J22" s="8">
        <v>5.44E-4</v>
      </c>
      <c r="K22" s="8">
        <v>5.44E-4</v>
      </c>
      <c r="L22">
        <v>0.3673990909</v>
      </c>
      <c r="M22">
        <v>0.3673990909</v>
      </c>
    </row>
    <row r="23" spans="1:14" x14ac:dyDescent="0.3">
      <c r="A23" t="s">
        <v>6</v>
      </c>
      <c r="B23" t="s">
        <v>18</v>
      </c>
      <c r="C23" t="s">
        <v>19</v>
      </c>
      <c r="D23" t="s">
        <v>10</v>
      </c>
      <c r="E23">
        <v>2020</v>
      </c>
      <c r="G23" s="2">
        <f>G22*1.3</f>
        <v>0.47761881818181823</v>
      </c>
      <c r="H23" s="2">
        <v>0</v>
      </c>
      <c r="I23" s="8">
        <v>5.44E-4</v>
      </c>
      <c r="J23" s="8">
        <v>5.44E-4</v>
      </c>
      <c r="K23" s="8">
        <v>5.44E-4</v>
      </c>
      <c r="L23">
        <v>0.59702352270000003</v>
      </c>
      <c r="M23">
        <v>0.35821411359999999</v>
      </c>
    </row>
    <row r="24" spans="1:14" x14ac:dyDescent="0.3">
      <c r="A24" t="s">
        <v>6</v>
      </c>
      <c r="B24" t="s">
        <v>18</v>
      </c>
      <c r="C24" t="s">
        <v>19</v>
      </c>
      <c r="D24" t="s">
        <v>11</v>
      </c>
      <c r="E24">
        <v>2020</v>
      </c>
      <c r="F24">
        <f>2.0503/33</f>
        <v>6.2130303030303029E-2</v>
      </c>
      <c r="G24" s="2">
        <f t="shared" si="0"/>
        <v>0.5983148181818182</v>
      </c>
      <c r="H24" s="2">
        <v>0</v>
      </c>
      <c r="I24" s="8">
        <v>5.44E-4</v>
      </c>
      <c r="J24" s="8">
        <v>5.44E-4</v>
      </c>
      <c r="K24" s="8">
        <v>5.44E-4</v>
      </c>
      <c r="L24">
        <v>0.74789352269999998</v>
      </c>
      <c r="M24">
        <v>0.44873611359999999</v>
      </c>
    </row>
    <row r="25" spans="1:14" x14ac:dyDescent="0.3">
      <c r="A25" t="s">
        <v>6</v>
      </c>
      <c r="B25" t="s">
        <v>18</v>
      </c>
      <c r="C25" t="s">
        <v>19</v>
      </c>
      <c r="D25" t="s">
        <v>12</v>
      </c>
      <c r="E25">
        <v>2020</v>
      </c>
      <c r="G25" s="2">
        <f>G22*1.06</f>
        <v>0.38944303636363642</v>
      </c>
      <c r="H25" s="2">
        <f>((127+217)/2)/33</f>
        <v>5.2121212121212119</v>
      </c>
      <c r="I25" s="8">
        <v>5.44E-4</v>
      </c>
      <c r="J25" s="8">
        <v>5.44E-4</v>
      </c>
      <c r="K25" s="8">
        <v>5.44E-4</v>
      </c>
      <c r="L25">
        <v>0.48680379550000002</v>
      </c>
      <c r="M25">
        <v>0.29208227730000003</v>
      </c>
    </row>
    <row r="26" spans="1:14" x14ac:dyDescent="0.3">
      <c r="A26" t="s">
        <v>6</v>
      </c>
      <c r="B26" t="s">
        <v>18</v>
      </c>
      <c r="C26" t="s">
        <v>19</v>
      </c>
      <c r="D26" t="s">
        <v>13</v>
      </c>
      <c r="E26">
        <v>2020</v>
      </c>
      <c r="G26" s="2">
        <f>G22*1.12</f>
        <v>0.41148698181818189</v>
      </c>
      <c r="H26" s="2">
        <f>156/33</f>
        <v>4.7272727272727275</v>
      </c>
      <c r="I26" s="8">
        <v>5.44E-4</v>
      </c>
      <c r="J26" s="8">
        <v>5.44E-4</v>
      </c>
      <c r="K26" s="8">
        <v>5.44E-4</v>
      </c>
      <c r="L26">
        <v>0.51435872729999998</v>
      </c>
      <c r="M26">
        <v>0.30861523639999999</v>
      </c>
    </row>
    <row r="27" spans="1:14" x14ac:dyDescent="0.3">
      <c r="A27" t="s">
        <v>6</v>
      </c>
      <c r="B27" t="s">
        <v>20</v>
      </c>
      <c r="C27" t="s">
        <v>21</v>
      </c>
      <c r="D27" t="s">
        <v>9</v>
      </c>
      <c r="E27">
        <v>2020</v>
      </c>
      <c r="F27">
        <f>1.259/34</f>
        <v>3.702941176470588E-2</v>
      </c>
      <c r="G27" s="2">
        <f t="shared" si="0"/>
        <v>0.35659323529411763</v>
      </c>
      <c r="H27" s="2">
        <f>1274/34</f>
        <v>37.470588235294116</v>
      </c>
      <c r="I27" s="8">
        <v>5.44E-4</v>
      </c>
      <c r="J27" s="8">
        <v>5.44E-4</v>
      </c>
      <c r="K27" s="8">
        <v>5.44E-4</v>
      </c>
      <c r="L27">
        <v>0.35659323529999998</v>
      </c>
      <c r="M27">
        <v>0.35659323529999998</v>
      </c>
      <c r="N27" t="s">
        <v>43</v>
      </c>
    </row>
    <row r="28" spans="1:14" x14ac:dyDescent="0.3">
      <c r="A28" t="s">
        <v>6</v>
      </c>
      <c r="B28" t="s">
        <v>20</v>
      </c>
      <c r="C28" t="s">
        <v>21</v>
      </c>
      <c r="D28" t="s">
        <v>10</v>
      </c>
      <c r="E28">
        <v>2020</v>
      </c>
      <c r="G28" s="2">
        <f>G27*1.3</f>
        <v>0.46357120588235295</v>
      </c>
      <c r="H28" s="2">
        <v>0</v>
      </c>
      <c r="I28" s="8">
        <v>5.44E-4</v>
      </c>
      <c r="J28" s="8">
        <v>5.44E-4</v>
      </c>
      <c r="K28" s="8">
        <v>5.44E-4</v>
      </c>
      <c r="L28">
        <v>0.57946400740000004</v>
      </c>
      <c r="M28">
        <v>0.34767840439999997</v>
      </c>
    </row>
    <row r="29" spans="1:14" x14ac:dyDescent="0.3">
      <c r="A29" t="s">
        <v>6</v>
      </c>
      <c r="B29" t="s">
        <v>20</v>
      </c>
      <c r="C29" t="s">
        <v>21</v>
      </c>
      <c r="D29" t="s">
        <v>11</v>
      </c>
      <c r="E29">
        <v>2020</v>
      </c>
      <c r="F29">
        <f>2.0503/34</f>
        <v>6.0302941176470587E-2</v>
      </c>
      <c r="G29" s="2">
        <f t="shared" si="0"/>
        <v>0.58071732352941174</v>
      </c>
      <c r="H29" s="2">
        <v>0</v>
      </c>
      <c r="I29" s="8">
        <v>5.44E-4</v>
      </c>
      <c r="J29" s="8">
        <v>5.44E-4</v>
      </c>
      <c r="K29" s="8">
        <v>5.44E-4</v>
      </c>
      <c r="L29">
        <v>0.72589665439999995</v>
      </c>
      <c r="M29">
        <v>0.43553799259999998</v>
      </c>
    </row>
    <row r="30" spans="1:14" x14ac:dyDescent="0.3">
      <c r="A30" t="s">
        <v>6</v>
      </c>
      <c r="B30" t="s">
        <v>20</v>
      </c>
      <c r="C30" t="s">
        <v>21</v>
      </c>
      <c r="D30" t="s">
        <v>12</v>
      </c>
      <c r="E30">
        <v>2020</v>
      </c>
      <c r="G30" s="2">
        <f>G27*1.06</f>
        <v>0.3779888294117647</v>
      </c>
      <c r="H30" s="2">
        <f>((127+217)/2)/34</f>
        <v>5.0588235294117645</v>
      </c>
      <c r="I30" s="8">
        <v>5.44E-4</v>
      </c>
      <c r="J30" s="8">
        <v>5.44E-4</v>
      </c>
      <c r="K30" s="8">
        <v>5.44E-4</v>
      </c>
      <c r="L30">
        <v>0.47248603680000001</v>
      </c>
      <c r="M30">
        <v>0.28349162210000001</v>
      </c>
    </row>
    <row r="31" spans="1:14" x14ac:dyDescent="0.3">
      <c r="A31" t="s">
        <v>6</v>
      </c>
      <c r="B31" t="s">
        <v>20</v>
      </c>
      <c r="C31" t="s">
        <v>21</v>
      </c>
      <c r="D31" t="s">
        <v>13</v>
      </c>
      <c r="E31">
        <v>2020</v>
      </c>
      <c r="G31" s="2">
        <f>G27*1.12</f>
        <v>0.39938442352941178</v>
      </c>
      <c r="H31" s="2">
        <f>156/34</f>
        <v>4.5882352941176467</v>
      </c>
      <c r="I31" s="8">
        <v>5.44E-4</v>
      </c>
      <c r="J31" s="8">
        <v>5.44E-4</v>
      </c>
      <c r="K31" s="8">
        <v>5.44E-4</v>
      </c>
      <c r="L31">
        <v>0.49923052940000001</v>
      </c>
      <c r="M31">
        <v>0.29953831759999999</v>
      </c>
    </row>
    <row r="32" spans="1:14" x14ac:dyDescent="0.3">
      <c r="A32" t="s">
        <v>6</v>
      </c>
      <c r="B32" t="s">
        <v>22</v>
      </c>
      <c r="C32" t="s">
        <v>23</v>
      </c>
      <c r="D32" t="s">
        <v>9</v>
      </c>
      <c r="E32">
        <v>2020</v>
      </c>
      <c r="F32">
        <f>1.259/33</f>
        <v>3.8151515151515152E-2</v>
      </c>
      <c r="G32" s="2">
        <f t="shared" si="0"/>
        <v>0.36739909090909095</v>
      </c>
      <c r="H32" s="2">
        <f>1274/33</f>
        <v>38.606060606060609</v>
      </c>
      <c r="I32" s="8">
        <v>5.44E-4</v>
      </c>
      <c r="J32" s="8">
        <v>5.44E-4</v>
      </c>
      <c r="K32" s="8">
        <v>5.44E-4</v>
      </c>
      <c r="L32">
        <v>0.3673990909</v>
      </c>
      <c r="M32">
        <v>0.3673990909</v>
      </c>
    </row>
    <row r="33" spans="1:14" x14ac:dyDescent="0.3">
      <c r="A33" t="s">
        <v>6</v>
      </c>
      <c r="B33" t="s">
        <v>22</v>
      </c>
      <c r="C33" t="s">
        <v>23</v>
      </c>
      <c r="D33" t="s">
        <v>10</v>
      </c>
      <c r="E33">
        <v>2020</v>
      </c>
      <c r="G33" s="2">
        <f>G32*1.3</f>
        <v>0.47761881818181823</v>
      </c>
      <c r="H33" s="2">
        <v>0</v>
      </c>
      <c r="I33" s="8">
        <v>5.44E-4</v>
      </c>
      <c r="J33" s="8">
        <v>5.44E-4</v>
      </c>
      <c r="K33" s="8">
        <v>5.44E-4</v>
      </c>
      <c r="L33">
        <v>0.59702352270000003</v>
      </c>
      <c r="M33">
        <v>0.35821411359999999</v>
      </c>
    </row>
    <row r="34" spans="1:14" x14ac:dyDescent="0.3">
      <c r="A34" t="s">
        <v>6</v>
      </c>
      <c r="B34" t="s">
        <v>22</v>
      </c>
      <c r="C34" t="s">
        <v>23</v>
      </c>
      <c r="D34" t="s">
        <v>11</v>
      </c>
      <c r="E34">
        <v>2020</v>
      </c>
      <c r="F34">
        <f>2.0503/33</f>
        <v>6.2130303030303029E-2</v>
      </c>
      <c r="G34" s="2">
        <f t="shared" si="0"/>
        <v>0.5983148181818182</v>
      </c>
      <c r="H34" s="2">
        <v>0</v>
      </c>
      <c r="I34" s="8">
        <v>5.44E-4</v>
      </c>
      <c r="J34" s="8">
        <v>5.44E-4</v>
      </c>
      <c r="K34" s="8">
        <v>5.44E-4</v>
      </c>
      <c r="L34">
        <v>0.74789352269999998</v>
      </c>
      <c r="M34">
        <v>0.44873611359999999</v>
      </c>
    </row>
    <row r="35" spans="1:14" x14ac:dyDescent="0.3">
      <c r="A35" t="s">
        <v>6</v>
      </c>
      <c r="B35" t="s">
        <v>22</v>
      </c>
      <c r="C35" t="s">
        <v>23</v>
      </c>
      <c r="D35" t="s">
        <v>12</v>
      </c>
      <c r="E35">
        <v>2020</v>
      </c>
      <c r="G35" s="2">
        <f>G32*1.06</f>
        <v>0.38944303636363642</v>
      </c>
      <c r="H35" s="2">
        <f>((127+217)/2)/33</f>
        <v>5.2121212121212119</v>
      </c>
      <c r="I35" s="8">
        <v>5.44E-4</v>
      </c>
      <c r="J35" s="8">
        <v>5.44E-4</v>
      </c>
      <c r="K35" s="8">
        <v>5.44E-4</v>
      </c>
      <c r="L35">
        <v>0.48680379550000002</v>
      </c>
      <c r="M35">
        <v>0.29208227730000003</v>
      </c>
    </row>
    <row r="36" spans="1:14" x14ac:dyDescent="0.3">
      <c r="A36" t="s">
        <v>6</v>
      </c>
      <c r="B36" t="s">
        <v>22</v>
      </c>
      <c r="C36" t="s">
        <v>23</v>
      </c>
      <c r="D36" t="s">
        <v>13</v>
      </c>
      <c r="E36">
        <v>2020</v>
      </c>
      <c r="G36" s="2">
        <f>G32*1.12</f>
        <v>0.41148698181818189</v>
      </c>
      <c r="H36" s="2">
        <f>156/33</f>
        <v>4.7272727272727275</v>
      </c>
      <c r="I36" s="8">
        <v>5.44E-4</v>
      </c>
      <c r="J36" s="8">
        <v>5.44E-4</v>
      </c>
      <c r="K36" s="8">
        <v>5.44E-4</v>
      </c>
      <c r="L36">
        <v>0.51435872729999998</v>
      </c>
      <c r="M36">
        <v>0.30861523639999999</v>
      </c>
    </row>
    <row r="37" spans="1:14" x14ac:dyDescent="0.3">
      <c r="A37" t="s">
        <v>40</v>
      </c>
      <c r="B37" t="s">
        <v>7</v>
      </c>
      <c r="C37" t="s">
        <v>24</v>
      </c>
      <c r="D37" t="s">
        <v>44</v>
      </c>
      <c r="E37">
        <v>2020</v>
      </c>
      <c r="F37">
        <f>70.026/9000</f>
        <v>7.7806666666666666E-3</v>
      </c>
      <c r="G37" s="3">
        <f>F37*$Q$2</f>
        <v>7.4927820000000006E-2</v>
      </c>
      <c r="H37" s="3">
        <v>13</v>
      </c>
      <c r="I37" s="9">
        <v>5.44E-4</v>
      </c>
      <c r="J37" s="9">
        <v>5.44E-4</v>
      </c>
      <c r="K37" s="9">
        <v>5.44E-4</v>
      </c>
      <c r="L37">
        <v>7.4927820000000006E-2</v>
      </c>
      <c r="M37">
        <v>7.4927820000000006E-2</v>
      </c>
      <c r="N37" t="s">
        <v>54</v>
      </c>
    </row>
    <row r="38" spans="1:14" x14ac:dyDescent="0.3">
      <c r="A38" t="s">
        <v>40</v>
      </c>
      <c r="B38" t="s">
        <v>7</v>
      </c>
      <c r="C38" t="s">
        <v>24</v>
      </c>
      <c r="D38" t="s">
        <v>25</v>
      </c>
      <c r="E38">
        <v>2020</v>
      </c>
      <c r="G38" s="3">
        <f>G37*1.1</f>
        <v>8.2420602000000009E-2</v>
      </c>
      <c r="H38" s="3">
        <f>0.93*H37</f>
        <v>12.09</v>
      </c>
      <c r="I38" s="9">
        <v>5.44E-4</v>
      </c>
      <c r="J38" s="9">
        <v>5.44E-4</v>
      </c>
      <c r="K38" s="9">
        <v>5.44E-4</v>
      </c>
      <c r="L38">
        <v>8.2420601999999996E-2</v>
      </c>
      <c r="M38">
        <v>8.2420601999999996E-2</v>
      </c>
    </row>
    <row r="39" spans="1:14" x14ac:dyDescent="0.3">
      <c r="A39" t="s">
        <v>40</v>
      </c>
      <c r="B39" t="s">
        <v>7</v>
      </c>
      <c r="C39" t="s">
        <v>24</v>
      </c>
      <c r="D39" t="s">
        <v>26</v>
      </c>
      <c r="E39">
        <v>2020</v>
      </c>
      <c r="G39" s="3">
        <f>G38*1.07</f>
        <v>8.8190044140000021E-2</v>
      </c>
      <c r="H39" s="3">
        <f>H37*0.7</f>
        <v>9.1</v>
      </c>
      <c r="I39" s="9">
        <v>5.44E-4</v>
      </c>
      <c r="J39" s="9">
        <v>5.44E-4</v>
      </c>
      <c r="K39" s="9">
        <v>5.44E-4</v>
      </c>
      <c r="L39">
        <v>8.8190044140000007E-2</v>
      </c>
      <c r="M39">
        <v>8.8190044140000007E-2</v>
      </c>
    </row>
    <row r="40" spans="1:14" x14ac:dyDescent="0.3">
      <c r="A40" t="s">
        <v>40</v>
      </c>
      <c r="B40" t="s">
        <v>7</v>
      </c>
      <c r="C40" t="s">
        <v>24</v>
      </c>
      <c r="D40" t="s">
        <v>11</v>
      </c>
      <c r="E40">
        <v>2020</v>
      </c>
      <c r="G40" s="3">
        <v>9999</v>
      </c>
      <c r="H40" s="3">
        <v>0</v>
      </c>
      <c r="I40" s="9">
        <v>5.44E-4</v>
      </c>
      <c r="J40" s="9">
        <v>5.44E-4</v>
      </c>
      <c r="K40" s="9">
        <v>5.44E-4</v>
      </c>
      <c r="L40">
        <v>12498.75</v>
      </c>
      <c r="M40">
        <v>7499.25</v>
      </c>
    </row>
    <row r="41" spans="1:14" x14ac:dyDescent="0.3">
      <c r="A41" t="s">
        <v>40</v>
      </c>
      <c r="B41" t="s">
        <v>7</v>
      </c>
      <c r="C41" t="s">
        <v>24</v>
      </c>
      <c r="D41" t="s">
        <v>27</v>
      </c>
      <c r="E41">
        <v>2020</v>
      </c>
      <c r="G41" s="3">
        <v>9999</v>
      </c>
      <c r="H41" s="3">
        <v>0</v>
      </c>
      <c r="I41" s="9">
        <v>5.44E-4</v>
      </c>
      <c r="J41" s="9">
        <v>5.44E-4</v>
      </c>
      <c r="K41" s="9">
        <v>5.44E-4</v>
      </c>
      <c r="L41">
        <v>12498.75</v>
      </c>
      <c r="M41">
        <v>7499.25</v>
      </c>
    </row>
    <row r="42" spans="1:14" x14ac:dyDescent="0.3">
      <c r="A42" t="s">
        <v>40</v>
      </c>
      <c r="B42" t="s">
        <v>7</v>
      </c>
      <c r="C42" t="s">
        <v>24</v>
      </c>
      <c r="D42" t="s">
        <v>28</v>
      </c>
      <c r="E42">
        <v>2020</v>
      </c>
      <c r="G42" s="3">
        <f>G38*1.2</f>
        <v>9.8904722400000006E-2</v>
      </c>
      <c r="H42" s="3">
        <f>0.9*H37</f>
        <v>11.700000000000001</v>
      </c>
      <c r="I42" s="9">
        <v>5.44E-4</v>
      </c>
      <c r="J42" s="9">
        <v>5.44E-4</v>
      </c>
      <c r="K42" s="9">
        <v>5.44E-4</v>
      </c>
      <c r="L42">
        <v>0.123630903</v>
      </c>
      <c r="M42">
        <v>7.4178541799999997E-2</v>
      </c>
    </row>
    <row r="43" spans="1:14" x14ac:dyDescent="0.3">
      <c r="A43" t="s">
        <v>40</v>
      </c>
      <c r="B43" t="s">
        <v>7</v>
      </c>
      <c r="C43" t="s">
        <v>24</v>
      </c>
      <c r="D43" t="s">
        <v>13</v>
      </c>
      <c r="E43">
        <v>2020</v>
      </c>
      <c r="G43" s="3">
        <f>G42*1.05</f>
        <v>0.10384995852000001</v>
      </c>
      <c r="H43" s="3">
        <f>H37*0.24</f>
        <v>3.12</v>
      </c>
      <c r="I43" s="9">
        <v>5.44E-4</v>
      </c>
      <c r="J43" s="9">
        <v>5.44E-4</v>
      </c>
      <c r="K43" s="9">
        <v>5.44E-4</v>
      </c>
      <c r="L43">
        <v>0.12981244820000001</v>
      </c>
      <c r="M43">
        <v>7.7887468890000006E-2</v>
      </c>
    </row>
    <row r="44" spans="1:14" x14ac:dyDescent="0.3">
      <c r="A44" t="s">
        <v>40</v>
      </c>
      <c r="B44" t="s">
        <v>14</v>
      </c>
      <c r="C44" t="s">
        <v>29</v>
      </c>
      <c r="D44" t="s">
        <v>44</v>
      </c>
      <c r="E44">
        <v>2020</v>
      </c>
      <c r="F44">
        <f>70.026/8500</f>
        <v>8.238352941176471E-3</v>
      </c>
      <c r="G44" s="3">
        <f>F44*$Q$2</f>
        <v>7.9335338823529417E-2</v>
      </c>
      <c r="H44" s="3">
        <f>(42/14000)*9000</f>
        <v>27</v>
      </c>
      <c r="I44" s="9">
        <v>5.44E-4</v>
      </c>
      <c r="J44" s="9">
        <v>5.44E-4</v>
      </c>
      <c r="K44" s="9">
        <v>5.44E-4</v>
      </c>
      <c r="L44">
        <v>7.9335338820000004E-2</v>
      </c>
      <c r="M44">
        <v>7.9335338820000004E-2</v>
      </c>
    </row>
    <row r="45" spans="1:14" x14ac:dyDescent="0.3">
      <c r="A45" t="s">
        <v>40</v>
      </c>
      <c r="B45" t="s">
        <v>14</v>
      </c>
      <c r="C45" t="s">
        <v>29</v>
      </c>
      <c r="D45" t="s">
        <v>25</v>
      </c>
      <c r="E45">
        <v>2020</v>
      </c>
      <c r="G45" s="3">
        <f>G44*1.1</f>
        <v>8.7268872705882364E-2</v>
      </c>
      <c r="H45" s="3">
        <f>0.93*H44</f>
        <v>25.110000000000003</v>
      </c>
      <c r="I45" s="9">
        <v>5.44E-4</v>
      </c>
      <c r="J45" s="9">
        <v>5.44E-4</v>
      </c>
      <c r="K45" s="9">
        <v>5.44E-4</v>
      </c>
      <c r="L45">
        <v>8.7268872710000001E-2</v>
      </c>
      <c r="M45">
        <v>8.7268872710000001E-2</v>
      </c>
    </row>
    <row r="46" spans="1:14" x14ac:dyDescent="0.3">
      <c r="A46" t="s">
        <v>40</v>
      </c>
      <c r="B46" t="s">
        <v>14</v>
      </c>
      <c r="C46" t="s">
        <v>29</v>
      </c>
      <c r="D46" t="s">
        <v>26</v>
      </c>
      <c r="E46">
        <v>2020</v>
      </c>
      <c r="G46" s="3">
        <f>G45*1.07</f>
        <v>9.3377693795294134E-2</v>
      </c>
      <c r="H46" s="3">
        <f>H44*0.7</f>
        <v>18.899999999999999</v>
      </c>
      <c r="I46" s="9">
        <v>5.44E-4</v>
      </c>
      <c r="J46" s="9">
        <v>5.44E-4</v>
      </c>
      <c r="K46" s="9">
        <v>5.44E-4</v>
      </c>
      <c r="L46">
        <v>9.3377693799999995E-2</v>
      </c>
      <c r="M46">
        <v>9.3377693799999995E-2</v>
      </c>
    </row>
    <row r="47" spans="1:14" x14ac:dyDescent="0.3">
      <c r="A47" t="s">
        <v>40</v>
      </c>
      <c r="B47" t="s">
        <v>14</v>
      </c>
      <c r="C47" t="s">
        <v>29</v>
      </c>
      <c r="D47" t="s">
        <v>11</v>
      </c>
      <c r="E47">
        <v>2020</v>
      </c>
      <c r="G47" s="3">
        <v>9999</v>
      </c>
      <c r="H47" s="3">
        <v>0</v>
      </c>
      <c r="I47" s="9">
        <v>5.44E-4</v>
      </c>
      <c r="J47" s="9">
        <v>5.44E-4</v>
      </c>
      <c r="K47" s="9">
        <v>5.44E-4</v>
      </c>
      <c r="L47">
        <v>12498.75</v>
      </c>
      <c r="M47">
        <v>7499.25</v>
      </c>
    </row>
    <row r="48" spans="1:14" x14ac:dyDescent="0.3">
      <c r="A48" t="s">
        <v>40</v>
      </c>
      <c r="B48" t="s">
        <v>14</v>
      </c>
      <c r="C48" t="s">
        <v>29</v>
      </c>
      <c r="D48" t="s">
        <v>27</v>
      </c>
      <c r="E48">
        <v>2020</v>
      </c>
      <c r="G48" s="3">
        <v>9999</v>
      </c>
      <c r="H48" s="3">
        <v>0</v>
      </c>
      <c r="I48" s="9">
        <v>5.44E-4</v>
      </c>
      <c r="J48" s="9">
        <v>5.44E-4</v>
      </c>
      <c r="K48" s="9">
        <v>5.44E-4</v>
      </c>
      <c r="L48">
        <v>12498.75</v>
      </c>
      <c r="M48">
        <v>7499.25</v>
      </c>
    </row>
    <row r="49" spans="1:13" x14ac:dyDescent="0.3">
      <c r="A49" t="s">
        <v>40</v>
      </c>
      <c r="B49" t="s">
        <v>14</v>
      </c>
      <c r="C49" t="s">
        <v>29</v>
      </c>
      <c r="D49" t="s">
        <v>28</v>
      </c>
      <c r="E49">
        <v>2020</v>
      </c>
      <c r="G49" s="3">
        <f>1.2*G45</f>
        <v>0.10472264724705883</v>
      </c>
      <c r="H49" s="3">
        <f>0.9*H44</f>
        <v>24.3</v>
      </c>
      <c r="I49" s="9">
        <v>5.44E-4</v>
      </c>
      <c r="J49" s="9">
        <v>5.44E-4</v>
      </c>
      <c r="K49" s="9">
        <v>5.44E-4</v>
      </c>
      <c r="L49">
        <v>0.1309033091</v>
      </c>
      <c r="M49">
        <v>7.8541985440000003E-2</v>
      </c>
    </row>
    <row r="50" spans="1:13" x14ac:dyDescent="0.3">
      <c r="A50" t="s">
        <v>40</v>
      </c>
      <c r="B50" t="s">
        <v>14</v>
      </c>
      <c r="C50" t="s">
        <v>29</v>
      </c>
      <c r="D50" t="s">
        <v>13</v>
      </c>
      <c r="E50">
        <v>2020</v>
      </c>
      <c r="G50" s="3">
        <f>G49*1.05</f>
        <v>0.10995877960941178</v>
      </c>
      <c r="H50" s="3">
        <f>H44*0.24</f>
        <v>6.4799999999999995</v>
      </c>
      <c r="I50" s="9">
        <v>5.44E-4</v>
      </c>
      <c r="J50" s="9">
        <v>5.44E-4</v>
      </c>
      <c r="K50" s="9">
        <v>5.44E-4</v>
      </c>
      <c r="L50">
        <v>0.1374484745</v>
      </c>
      <c r="M50">
        <v>8.2469084710000001E-2</v>
      </c>
    </row>
    <row r="51" spans="1:13" x14ac:dyDescent="0.3">
      <c r="A51" t="s">
        <v>40</v>
      </c>
      <c r="B51" t="s">
        <v>16</v>
      </c>
      <c r="C51" t="s">
        <v>29</v>
      </c>
      <c r="D51" t="s">
        <v>44</v>
      </c>
      <c r="E51">
        <v>2020</v>
      </c>
      <c r="F51">
        <f>70.026/8500</f>
        <v>8.238352941176471E-3</v>
      </c>
      <c r="G51" s="3">
        <f>F51*$Q$2</f>
        <v>7.9335338823529417E-2</v>
      </c>
      <c r="H51" s="3">
        <f>(42/14000)*9000</f>
        <v>27</v>
      </c>
      <c r="I51" s="9">
        <v>5.44E-4</v>
      </c>
      <c r="J51" s="9">
        <v>5.44E-4</v>
      </c>
      <c r="K51" s="9">
        <v>5.44E-4</v>
      </c>
      <c r="L51">
        <v>7.9335338820000004E-2</v>
      </c>
      <c r="M51">
        <v>7.9335338820000004E-2</v>
      </c>
    </row>
    <row r="52" spans="1:13" x14ac:dyDescent="0.3">
      <c r="A52" t="s">
        <v>40</v>
      </c>
      <c r="B52" t="s">
        <v>16</v>
      </c>
      <c r="C52" t="s">
        <v>29</v>
      </c>
      <c r="D52" t="s">
        <v>25</v>
      </c>
      <c r="E52">
        <v>2020</v>
      </c>
      <c r="G52" s="3">
        <f>G51*1.1</f>
        <v>8.7268872705882364E-2</v>
      </c>
      <c r="H52" s="3">
        <f>0.93*H51</f>
        <v>25.110000000000003</v>
      </c>
      <c r="I52" s="9">
        <v>5.44E-4</v>
      </c>
      <c r="J52" s="9">
        <v>5.44E-4</v>
      </c>
      <c r="K52" s="9">
        <v>5.44E-4</v>
      </c>
      <c r="L52">
        <v>8.7268872710000001E-2</v>
      </c>
      <c r="M52">
        <v>8.7268872710000001E-2</v>
      </c>
    </row>
    <row r="53" spans="1:13" x14ac:dyDescent="0.3">
      <c r="A53" t="s">
        <v>40</v>
      </c>
      <c r="B53" t="s">
        <v>16</v>
      </c>
      <c r="C53" t="s">
        <v>29</v>
      </c>
      <c r="D53" t="s">
        <v>26</v>
      </c>
      <c r="E53">
        <v>2020</v>
      </c>
      <c r="G53" s="3">
        <f>G52*1.07</f>
        <v>9.3377693795294134E-2</v>
      </c>
      <c r="H53" s="3">
        <f>H51*0.7</f>
        <v>18.899999999999999</v>
      </c>
      <c r="I53" s="9">
        <v>5.44E-4</v>
      </c>
      <c r="J53" s="9">
        <v>5.44E-4</v>
      </c>
      <c r="K53" s="9">
        <v>5.44E-4</v>
      </c>
      <c r="L53">
        <v>9.3377693799999995E-2</v>
      </c>
      <c r="M53">
        <v>9.3377693799999995E-2</v>
      </c>
    </row>
    <row r="54" spans="1:13" x14ac:dyDescent="0.3">
      <c r="A54" t="s">
        <v>40</v>
      </c>
      <c r="B54" t="s">
        <v>16</v>
      </c>
      <c r="C54" t="s">
        <v>29</v>
      </c>
      <c r="D54" t="s">
        <v>11</v>
      </c>
      <c r="E54">
        <v>2020</v>
      </c>
      <c r="G54" s="3">
        <v>9999</v>
      </c>
      <c r="H54" s="3">
        <v>0</v>
      </c>
      <c r="I54" s="9">
        <v>5.44E-4</v>
      </c>
      <c r="J54" s="9">
        <v>5.44E-4</v>
      </c>
      <c r="K54" s="9">
        <v>5.44E-4</v>
      </c>
      <c r="L54">
        <v>12498.75</v>
      </c>
      <c r="M54">
        <v>7499.25</v>
      </c>
    </row>
    <row r="55" spans="1:13" x14ac:dyDescent="0.3">
      <c r="A55" t="s">
        <v>40</v>
      </c>
      <c r="B55" t="s">
        <v>16</v>
      </c>
      <c r="C55" t="s">
        <v>29</v>
      </c>
      <c r="D55" t="s">
        <v>27</v>
      </c>
      <c r="E55">
        <v>2020</v>
      </c>
      <c r="G55" s="3">
        <v>9999</v>
      </c>
      <c r="H55" s="3">
        <v>0</v>
      </c>
      <c r="I55" s="9">
        <v>5.44E-4</v>
      </c>
      <c r="J55" s="9">
        <v>5.44E-4</v>
      </c>
      <c r="K55" s="9">
        <v>5.44E-4</v>
      </c>
      <c r="L55">
        <v>12498.75</v>
      </c>
      <c r="M55">
        <v>7499.25</v>
      </c>
    </row>
    <row r="56" spans="1:13" x14ac:dyDescent="0.3">
      <c r="A56" t="s">
        <v>40</v>
      </c>
      <c r="B56" t="s">
        <v>16</v>
      </c>
      <c r="C56" t="s">
        <v>29</v>
      </c>
      <c r="D56" t="s">
        <v>28</v>
      </c>
      <c r="E56">
        <v>2020</v>
      </c>
      <c r="G56" s="3">
        <f>1.2*G52</f>
        <v>0.10472264724705883</v>
      </c>
      <c r="H56" s="3">
        <f>0.9*H51</f>
        <v>24.3</v>
      </c>
      <c r="I56" s="9">
        <v>5.44E-4</v>
      </c>
      <c r="J56" s="9">
        <v>5.44E-4</v>
      </c>
      <c r="K56" s="9">
        <v>5.44E-4</v>
      </c>
      <c r="L56">
        <v>0.1309033091</v>
      </c>
      <c r="M56">
        <v>7.8541985440000003E-2</v>
      </c>
    </row>
    <row r="57" spans="1:13" x14ac:dyDescent="0.3">
      <c r="A57" t="s">
        <v>40</v>
      </c>
      <c r="B57" t="s">
        <v>16</v>
      </c>
      <c r="C57" t="s">
        <v>29</v>
      </c>
      <c r="D57" t="s">
        <v>13</v>
      </c>
      <c r="E57">
        <v>2020</v>
      </c>
      <c r="G57" s="3">
        <f>G56*1.05</f>
        <v>0.10995877960941178</v>
      </c>
      <c r="H57" s="3">
        <f>H51*0.24</f>
        <v>6.4799999999999995</v>
      </c>
      <c r="I57" s="9">
        <v>5.44E-4</v>
      </c>
      <c r="J57" s="9">
        <v>5.44E-4</v>
      </c>
      <c r="K57" s="9">
        <v>5.44E-4</v>
      </c>
      <c r="L57">
        <v>0.1374484745</v>
      </c>
      <c r="M57">
        <v>8.2469084710000001E-2</v>
      </c>
    </row>
    <row r="58" spans="1:13" x14ac:dyDescent="0.3">
      <c r="A58" t="s">
        <v>40</v>
      </c>
      <c r="B58" t="s">
        <v>65</v>
      </c>
      <c r="C58" t="s">
        <v>29</v>
      </c>
      <c r="D58" t="s">
        <v>44</v>
      </c>
      <c r="E58">
        <v>2020</v>
      </c>
      <c r="F58">
        <f>70.026/8500</f>
        <v>8.238352941176471E-3</v>
      </c>
      <c r="G58" s="3">
        <f>F58*$Q$2</f>
        <v>7.9335338823529417E-2</v>
      </c>
      <c r="H58" s="3">
        <f>(42/14000)*9000</f>
        <v>27</v>
      </c>
      <c r="I58" s="9">
        <v>5.44E-4</v>
      </c>
      <c r="J58" s="9">
        <v>5.44E-4</v>
      </c>
      <c r="K58" s="9">
        <v>5.44E-4</v>
      </c>
      <c r="L58">
        <v>7.9335338820000004E-2</v>
      </c>
      <c r="M58">
        <v>7.9335338820000004E-2</v>
      </c>
    </row>
    <row r="59" spans="1:13" x14ac:dyDescent="0.3">
      <c r="A59" t="s">
        <v>40</v>
      </c>
      <c r="B59" t="s">
        <v>65</v>
      </c>
      <c r="C59" t="s">
        <v>29</v>
      </c>
      <c r="D59" t="s">
        <v>25</v>
      </c>
      <c r="E59">
        <v>2020</v>
      </c>
      <c r="G59" s="3">
        <f>G58*1.1</f>
        <v>8.7268872705882364E-2</v>
      </c>
      <c r="H59" s="3">
        <f>0.93*H58</f>
        <v>25.110000000000003</v>
      </c>
      <c r="I59" s="9">
        <v>5.44E-4</v>
      </c>
      <c r="J59" s="9">
        <v>5.44E-4</v>
      </c>
      <c r="K59" s="9">
        <v>5.44E-4</v>
      </c>
      <c r="L59">
        <v>8.7268872710000001E-2</v>
      </c>
      <c r="M59">
        <v>8.7268872710000001E-2</v>
      </c>
    </row>
    <row r="60" spans="1:13" x14ac:dyDescent="0.3">
      <c r="A60" t="s">
        <v>40</v>
      </c>
      <c r="B60" t="s">
        <v>65</v>
      </c>
      <c r="C60" t="s">
        <v>29</v>
      </c>
      <c r="D60" t="s">
        <v>26</v>
      </c>
      <c r="E60">
        <v>2020</v>
      </c>
      <c r="G60" s="3">
        <f>G59*1.07</f>
        <v>9.3377693795294134E-2</v>
      </c>
      <c r="H60" s="3">
        <f>H58*0.7</f>
        <v>18.899999999999999</v>
      </c>
      <c r="I60" s="9">
        <v>5.44E-4</v>
      </c>
      <c r="J60" s="9">
        <v>5.44E-4</v>
      </c>
      <c r="K60" s="9">
        <v>5.44E-4</v>
      </c>
      <c r="L60">
        <v>9.3377693799999995E-2</v>
      </c>
      <c r="M60">
        <v>9.3377693799999995E-2</v>
      </c>
    </row>
    <row r="61" spans="1:13" x14ac:dyDescent="0.3">
      <c r="A61" t="s">
        <v>40</v>
      </c>
      <c r="B61" t="s">
        <v>65</v>
      </c>
      <c r="C61" t="s">
        <v>29</v>
      </c>
      <c r="D61" t="s">
        <v>11</v>
      </c>
      <c r="E61">
        <v>2020</v>
      </c>
      <c r="G61" s="3">
        <v>9999</v>
      </c>
      <c r="H61" s="3">
        <v>0</v>
      </c>
      <c r="I61" s="9">
        <v>5.44E-4</v>
      </c>
      <c r="J61" s="9">
        <v>5.44E-4</v>
      </c>
      <c r="K61" s="9">
        <v>5.44E-4</v>
      </c>
      <c r="L61">
        <v>12498.75</v>
      </c>
      <c r="M61">
        <v>7499.25</v>
      </c>
    </row>
    <row r="62" spans="1:13" x14ac:dyDescent="0.3">
      <c r="A62" t="s">
        <v>40</v>
      </c>
      <c r="B62" t="s">
        <v>65</v>
      </c>
      <c r="C62" t="s">
        <v>29</v>
      </c>
      <c r="D62" t="s">
        <v>27</v>
      </c>
      <c r="E62">
        <v>2020</v>
      </c>
      <c r="G62" s="3">
        <v>9999</v>
      </c>
      <c r="H62" s="3">
        <v>0</v>
      </c>
      <c r="I62" s="9">
        <v>5.44E-4</v>
      </c>
      <c r="J62" s="9">
        <v>5.44E-4</v>
      </c>
      <c r="K62" s="9">
        <v>5.44E-4</v>
      </c>
      <c r="L62">
        <v>12498.75</v>
      </c>
      <c r="M62">
        <v>7499.25</v>
      </c>
    </row>
    <row r="63" spans="1:13" x14ac:dyDescent="0.3">
      <c r="A63" t="s">
        <v>40</v>
      </c>
      <c r="B63" t="s">
        <v>65</v>
      </c>
      <c r="C63" t="s">
        <v>29</v>
      </c>
      <c r="D63" t="s">
        <v>28</v>
      </c>
      <c r="E63">
        <v>2020</v>
      </c>
      <c r="G63" s="3">
        <f>1.2*G59</f>
        <v>0.10472264724705883</v>
      </c>
      <c r="H63" s="3">
        <f>0.9*H58</f>
        <v>24.3</v>
      </c>
      <c r="I63" s="9">
        <v>5.44E-4</v>
      </c>
      <c r="J63" s="9">
        <v>5.44E-4</v>
      </c>
      <c r="K63" s="9">
        <v>5.44E-4</v>
      </c>
      <c r="L63">
        <v>0.1309033091</v>
      </c>
      <c r="M63">
        <v>7.8541985440000003E-2</v>
      </c>
    </row>
    <row r="64" spans="1:13" x14ac:dyDescent="0.3">
      <c r="A64" t="s">
        <v>40</v>
      </c>
      <c r="B64" t="s">
        <v>65</v>
      </c>
      <c r="C64" t="s">
        <v>29</v>
      </c>
      <c r="D64" t="s">
        <v>13</v>
      </c>
      <c r="E64">
        <v>2020</v>
      </c>
      <c r="G64" s="3">
        <f>G63*1.05</f>
        <v>0.10995877960941178</v>
      </c>
      <c r="H64" s="3">
        <f>H58*0.24</f>
        <v>6.4799999999999995</v>
      </c>
      <c r="I64" s="9">
        <v>5.44E-4</v>
      </c>
      <c r="J64" s="9">
        <v>5.44E-4</v>
      </c>
      <c r="K64" s="9">
        <v>5.44E-4</v>
      </c>
      <c r="L64">
        <v>0.1374484745</v>
      </c>
      <c r="M64">
        <v>8.2469084710000001E-2</v>
      </c>
    </row>
    <row r="65" spans="1:14" x14ac:dyDescent="0.3">
      <c r="A65" t="s">
        <v>40</v>
      </c>
      <c r="B65" t="s">
        <v>18</v>
      </c>
      <c r="C65" t="s">
        <v>30</v>
      </c>
      <c r="D65" t="s">
        <v>44</v>
      </c>
      <c r="E65">
        <v>2020</v>
      </c>
      <c r="F65">
        <f>70.026/2500</f>
        <v>2.8010399999999998E-2</v>
      </c>
      <c r="G65" s="3">
        <f t="shared" si="0"/>
        <v>0.26974015200000001</v>
      </c>
      <c r="H65" s="3">
        <f>(28/4000)*2500</f>
        <v>17.5</v>
      </c>
      <c r="I65" s="9">
        <v>5.44E-4</v>
      </c>
      <c r="J65" s="9">
        <v>5.44E-4</v>
      </c>
      <c r="K65" s="9">
        <v>5.44E-4</v>
      </c>
      <c r="L65">
        <v>0.26974015200000001</v>
      </c>
      <c r="M65">
        <v>0.26974015200000001</v>
      </c>
    </row>
    <row r="66" spans="1:14" x14ac:dyDescent="0.3">
      <c r="A66" t="s">
        <v>40</v>
      </c>
      <c r="B66" t="s">
        <v>18</v>
      </c>
      <c r="C66" t="s">
        <v>30</v>
      </c>
      <c r="D66" t="s">
        <v>25</v>
      </c>
      <c r="E66">
        <v>2020</v>
      </c>
      <c r="G66" s="3">
        <f>G65*1.1</f>
        <v>0.29671416720000005</v>
      </c>
      <c r="H66" s="3">
        <f>0.93*H65</f>
        <v>16.275000000000002</v>
      </c>
      <c r="I66" s="9">
        <v>5.44E-4</v>
      </c>
      <c r="J66" s="9">
        <v>5.44E-4</v>
      </c>
      <c r="K66" s="9">
        <v>5.44E-4</v>
      </c>
      <c r="L66">
        <v>0.29671416719999999</v>
      </c>
      <c r="M66">
        <v>0.29671416719999999</v>
      </c>
    </row>
    <row r="67" spans="1:14" x14ac:dyDescent="0.3">
      <c r="A67" t="s">
        <v>40</v>
      </c>
      <c r="B67" t="s">
        <v>18</v>
      </c>
      <c r="C67" t="s">
        <v>30</v>
      </c>
      <c r="D67" t="s">
        <v>26</v>
      </c>
      <c r="E67">
        <v>2020</v>
      </c>
      <c r="G67" s="3">
        <f>G66*1.07</f>
        <v>0.31748415890400006</v>
      </c>
      <c r="H67" s="3">
        <f>H65*0.7</f>
        <v>12.25</v>
      </c>
      <c r="I67" s="9">
        <v>5.44E-4</v>
      </c>
      <c r="J67" s="9">
        <v>5.44E-4</v>
      </c>
      <c r="K67" s="9">
        <v>5.44E-4</v>
      </c>
      <c r="L67">
        <v>0.31748415889999998</v>
      </c>
      <c r="M67">
        <v>0.31748415889999998</v>
      </c>
    </row>
    <row r="68" spans="1:14" x14ac:dyDescent="0.3">
      <c r="A68" t="s">
        <v>40</v>
      </c>
      <c r="B68" t="s">
        <v>18</v>
      </c>
      <c r="C68" t="s">
        <v>30</v>
      </c>
      <c r="D68" t="s">
        <v>11</v>
      </c>
      <c r="E68">
        <v>2020</v>
      </c>
      <c r="G68" s="3">
        <v>9999</v>
      </c>
      <c r="H68" s="3">
        <v>0</v>
      </c>
      <c r="I68" s="9">
        <v>5.44E-4</v>
      </c>
      <c r="J68" s="9">
        <v>5.44E-4</v>
      </c>
      <c r="K68" s="9">
        <v>5.44E-4</v>
      </c>
      <c r="L68">
        <v>12498.75</v>
      </c>
      <c r="M68">
        <v>7499.25</v>
      </c>
    </row>
    <row r="69" spans="1:14" x14ac:dyDescent="0.3">
      <c r="A69" t="s">
        <v>40</v>
      </c>
      <c r="B69" t="s">
        <v>18</v>
      </c>
      <c r="C69" t="s">
        <v>30</v>
      </c>
      <c r="D69" t="s">
        <v>27</v>
      </c>
      <c r="E69">
        <v>2020</v>
      </c>
      <c r="G69" s="3">
        <v>9999</v>
      </c>
      <c r="H69" s="3">
        <v>0</v>
      </c>
      <c r="I69" s="9">
        <v>5.44E-4</v>
      </c>
      <c r="J69" s="9">
        <v>5.44E-4</v>
      </c>
      <c r="K69" s="9">
        <v>5.44E-4</v>
      </c>
      <c r="L69">
        <v>12498.75</v>
      </c>
      <c r="M69">
        <v>7499.25</v>
      </c>
    </row>
    <row r="70" spans="1:14" x14ac:dyDescent="0.3">
      <c r="A70" t="s">
        <v>40</v>
      </c>
      <c r="B70" t="s">
        <v>18</v>
      </c>
      <c r="C70" t="s">
        <v>30</v>
      </c>
      <c r="D70" t="s">
        <v>28</v>
      </c>
      <c r="E70">
        <v>2020</v>
      </c>
      <c r="G70" s="3">
        <f>G66*1.2</f>
        <v>0.35605700064000007</v>
      </c>
      <c r="H70" s="3">
        <f>0.9*H65</f>
        <v>15.75</v>
      </c>
      <c r="I70" s="9">
        <v>5.44E-4</v>
      </c>
      <c r="J70" s="9">
        <v>5.44E-4</v>
      </c>
      <c r="K70" s="9">
        <v>5.44E-4</v>
      </c>
      <c r="L70">
        <v>0.44507125079999998</v>
      </c>
      <c r="M70">
        <v>0.26704275049999998</v>
      </c>
    </row>
    <row r="71" spans="1:14" x14ac:dyDescent="0.3">
      <c r="A71" t="s">
        <v>40</v>
      </c>
      <c r="B71" t="s">
        <v>18</v>
      </c>
      <c r="C71" t="s">
        <v>30</v>
      </c>
      <c r="D71" t="s">
        <v>13</v>
      </c>
      <c r="E71">
        <v>2020</v>
      </c>
      <c r="G71" s="3">
        <f>G70*1.05</f>
        <v>0.37385985067200006</v>
      </c>
      <c r="H71" s="3">
        <f>H65*0.24</f>
        <v>4.2</v>
      </c>
      <c r="I71" s="9">
        <v>5.44E-4</v>
      </c>
      <c r="J71" s="9">
        <v>5.44E-4</v>
      </c>
      <c r="K71" s="9">
        <v>5.44E-4</v>
      </c>
      <c r="L71">
        <v>0.46732481329999997</v>
      </c>
      <c r="M71">
        <v>0.28039488800000001</v>
      </c>
    </row>
    <row r="72" spans="1:14" x14ac:dyDescent="0.3">
      <c r="A72" t="s">
        <v>40</v>
      </c>
      <c r="B72" t="s">
        <v>20</v>
      </c>
      <c r="C72" t="s">
        <v>30</v>
      </c>
      <c r="D72" t="s">
        <v>44</v>
      </c>
      <c r="E72">
        <v>2020</v>
      </c>
      <c r="F72">
        <f>70.026/2500</f>
        <v>2.8010399999999998E-2</v>
      </c>
      <c r="G72" s="3">
        <f t="shared" si="0"/>
        <v>0.26974015200000001</v>
      </c>
      <c r="H72" s="3">
        <f>(28/4000)*2500</f>
        <v>17.5</v>
      </c>
      <c r="I72" s="9">
        <v>5.44E-4</v>
      </c>
      <c r="J72" s="9">
        <v>5.44E-4</v>
      </c>
      <c r="K72" s="9">
        <v>5.44E-4</v>
      </c>
      <c r="L72">
        <v>0.26974015200000001</v>
      </c>
      <c r="M72">
        <v>0.26974015200000001</v>
      </c>
    </row>
    <row r="73" spans="1:14" x14ac:dyDescent="0.3">
      <c r="A73" t="s">
        <v>40</v>
      </c>
      <c r="B73" t="s">
        <v>20</v>
      </c>
      <c r="C73" t="s">
        <v>30</v>
      </c>
      <c r="D73" t="s">
        <v>25</v>
      </c>
      <c r="E73">
        <v>2020</v>
      </c>
      <c r="G73" s="3">
        <f>G72*1.1</f>
        <v>0.29671416720000005</v>
      </c>
      <c r="H73" s="3">
        <f>0.93*H72</f>
        <v>16.275000000000002</v>
      </c>
      <c r="I73" s="9">
        <v>5.44E-4</v>
      </c>
      <c r="J73" s="9">
        <v>5.44E-4</v>
      </c>
      <c r="K73" s="9">
        <v>5.44E-4</v>
      </c>
      <c r="L73">
        <v>0.29671416719999999</v>
      </c>
      <c r="M73">
        <v>0.29671416719999999</v>
      </c>
    </row>
    <row r="74" spans="1:14" x14ac:dyDescent="0.3">
      <c r="A74" t="s">
        <v>40</v>
      </c>
      <c r="B74" t="s">
        <v>20</v>
      </c>
      <c r="C74" t="s">
        <v>30</v>
      </c>
      <c r="D74" t="s">
        <v>26</v>
      </c>
      <c r="E74">
        <v>2020</v>
      </c>
      <c r="G74" s="3">
        <f>G73*1.07</f>
        <v>0.31748415890400006</v>
      </c>
      <c r="H74" s="3">
        <f>H72*0.7</f>
        <v>12.25</v>
      </c>
      <c r="I74" s="9">
        <v>5.44E-4</v>
      </c>
      <c r="J74" s="9">
        <v>5.44E-4</v>
      </c>
      <c r="K74" s="9">
        <v>5.44E-4</v>
      </c>
      <c r="L74">
        <v>0.31748415889999998</v>
      </c>
      <c r="M74">
        <v>0.31748415889999998</v>
      </c>
    </row>
    <row r="75" spans="1:14" x14ac:dyDescent="0.3">
      <c r="A75" t="s">
        <v>40</v>
      </c>
      <c r="B75" t="s">
        <v>20</v>
      </c>
      <c r="C75" t="s">
        <v>30</v>
      </c>
      <c r="D75" t="s">
        <v>11</v>
      </c>
      <c r="E75">
        <v>2020</v>
      </c>
      <c r="G75" s="3">
        <v>9999</v>
      </c>
      <c r="H75" s="3">
        <v>0</v>
      </c>
      <c r="I75" s="9">
        <v>5.44E-4</v>
      </c>
      <c r="J75" s="9">
        <v>5.44E-4</v>
      </c>
      <c r="K75" s="9">
        <v>5.44E-4</v>
      </c>
      <c r="L75">
        <v>12498.75</v>
      </c>
      <c r="M75">
        <v>7499.25</v>
      </c>
    </row>
    <row r="76" spans="1:14" x14ac:dyDescent="0.3">
      <c r="A76" t="s">
        <v>40</v>
      </c>
      <c r="B76" t="s">
        <v>20</v>
      </c>
      <c r="C76" t="s">
        <v>30</v>
      </c>
      <c r="D76" t="s">
        <v>27</v>
      </c>
      <c r="E76">
        <v>2020</v>
      </c>
      <c r="G76" s="3">
        <v>9999</v>
      </c>
      <c r="H76" s="3">
        <v>0</v>
      </c>
      <c r="I76" s="9">
        <v>5.44E-4</v>
      </c>
      <c r="J76" s="9">
        <v>5.44E-4</v>
      </c>
      <c r="K76" s="9">
        <v>5.44E-4</v>
      </c>
      <c r="L76">
        <v>12498.75</v>
      </c>
      <c r="M76">
        <v>7499.25</v>
      </c>
    </row>
    <row r="77" spans="1:14" x14ac:dyDescent="0.3">
      <c r="A77" t="s">
        <v>40</v>
      </c>
      <c r="B77" t="s">
        <v>20</v>
      </c>
      <c r="C77" t="s">
        <v>30</v>
      </c>
      <c r="D77" t="s">
        <v>28</v>
      </c>
      <c r="E77">
        <v>2020</v>
      </c>
      <c r="G77" s="3">
        <f>G73*1.2</f>
        <v>0.35605700064000007</v>
      </c>
      <c r="H77" s="3">
        <f>0.9*H72</f>
        <v>15.75</v>
      </c>
      <c r="I77" s="9">
        <v>5.44E-4</v>
      </c>
      <c r="J77" s="9">
        <v>5.44E-4</v>
      </c>
      <c r="K77" s="9">
        <v>5.44E-4</v>
      </c>
      <c r="L77">
        <v>0.44507125079999998</v>
      </c>
      <c r="M77">
        <v>0.26704275049999998</v>
      </c>
    </row>
    <row r="78" spans="1:14" x14ac:dyDescent="0.3">
      <c r="A78" t="s">
        <v>40</v>
      </c>
      <c r="B78" t="s">
        <v>20</v>
      </c>
      <c r="C78" t="s">
        <v>30</v>
      </c>
      <c r="D78" t="s">
        <v>13</v>
      </c>
      <c r="E78">
        <v>2020</v>
      </c>
      <c r="G78" s="3">
        <f>G77*1.05</f>
        <v>0.37385985067200006</v>
      </c>
      <c r="H78" s="3">
        <f>H72*0.24</f>
        <v>4.2</v>
      </c>
      <c r="I78" s="9">
        <v>5.44E-4</v>
      </c>
      <c r="J78" s="9">
        <v>5.44E-4</v>
      </c>
      <c r="K78" s="9">
        <v>5.44E-4</v>
      </c>
      <c r="L78">
        <v>0.46732481329999997</v>
      </c>
      <c r="M78">
        <v>0.28039488800000001</v>
      </c>
    </row>
    <row r="79" spans="1:14" x14ac:dyDescent="0.3">
      <c r="A79" t="s">
        <v>40</v>
      </c>
      <c r="B79" t="s">
        <v>22</v>
      </c>
      <c r="C79" t="s">
        <v>31</v>
      </c>
      <c r="D79" t="s">
        <v>44</v>
      </c>
      <c r="E79">
        <v>2020</v>
      </c>
      <c r="F79">
        <f>70.026/17000</f>
        <v>4.1191764705882355E-3</v>
      </c>
      <c r="G79" s="3">
        <f t="shared" ref="G79:G135" si="1">F79*$Q$2</f>
        <v>3.9667669411764708E-2</v>
      </c>
      <c r="H79" s="3">
        <f>(12/15000)*17000</f>
        <v>13.600000000000001</v>
      </c>
      <c r="I79" s="9">
        <v>5.44E-4</v>
      </c>
      <c r="J79" s="9">
        <v>5.44E-4</v>
      </c>
      <c r="K79" s="9">
        <v>5.44E-4</v>
      </c>
      <c r="L79">
        <v>3.9667669410000002E-2</v>
      </c>
      <c r="M79">
        <v>3.9667669410000002E-2</v>
      </c>
      <c r="N79" t="s">
        <v>53</v>
      </c>
    </row>
    <row r="80" spans="1:14" x14ac:dyDescent="0.3">
      <c r="A80" t="s">
        <v>40</v>
      </c>
      <c r="B80" t="s">
        <v>22</v>
      </c>
      <c r="C80" t="s">
        <v>31</v>
      </c>
      <c r="D80" t="s">
        <v>25</v>
      </c>
      <c r="E80">
        <v>2020</v>
      </c>
      <c r="G80" s="3">
        <f>G79*1.1</f>
        <v>4.3634436352941182E-2</v>
      </c>
      <c r="H80" s="3">
        <f>0.93*H79</f>
        <v>12.648000000000001</v>
      </c>
      <c r="I80" s="9">
        <v>5.44E-4</v>
      </c>
      <c r="J80" s="9">
        <v>5.44E-4</v>
      </c>
      <c r="K80" s="9">
        <v>5.44E-4</v>
      </c>
      <c r="L80">
        <v>4.363443635E-2</v>
      </c>
      <c r="M80">
        <v>4.363443635E-2</v>
      </c>
    </row>
    <row r="81" spans="1:14" x14ac:dyDescent="0.3">
      <c r="A81" t="s">
        <v>40</v>
      </c>
      <c r="B81" t="s">
        <v>22</v>
      </c>
      <c r="C81" t="s">
        <v>31</v>
      </c>
      <c r="D81" t="s">
        <v>26</v>
      </c>
      <c r="E81">
        <v>2020</v>
      </c>
      <c r="G81" s="3">
        <f>G80*1.07</f>
        <v>4.6688846897647067E-2</v>
      </c>
      <c r="H81" s="3">
        <f>H79*0.7</f>
        <v>9.52</v>
      </c>
      <c r="I81" s="9">
        <v>5.44E-4</v>
      </c>
      <c r="J81" s="9">
        <v>5.44E-4</v>
      </c>
      <c r="K81" s="9">
        <v>5.44E-4</v>
      </c>
      <c r="L81">
        <v>4.6688846899999997E-2</v>
      </c>
      <c r="M81">
        <v>4.6688846899999997E-2</v>
      </c>
    </row>
    <row r="82" spans="1:14" x14ac:dyDescent="0.3">
      <c r="A82" t="s">
        <v>40</v>
      </c>
      <c r="B82" t="s">
        <v>22</v>
      </c>
      <c r="C82" t="s">
        <v>31</v>
      </c>
      <c r="D82" t="s">
        <v>11</v>
      </c>
      <c r="E82">
        <v>2020</v>
      </c>
      <c r="G82" s="3">
        <v>9999</v>
      </c>
      <c r="H82" s="3">
        <v>0</v>
      </c>
      <c r="I82" s="9">
        <v>5.44E-4</v>
      </c>
      <c r="J82" s="9">
        <v>5.44E-4</v>
      </c>
      <c r="K82" s="9">
        <v>5.44E-4</v>
      </c>
      <c r="L82">
        <v>12498.75</v>
      </c>
      <c r="M82">
        <v>7499.25</v>
      </c>
    </row>
    <row r="83" spans="1:14" x14ac:dyDescent="0.3">
      <c r="A83" t="s">
        <v>40</v>
      </c>
      <c r="B83" t="s">
        <v>22</v>
      </c>
      <c r="C83" t="s">
        <v>31</v>
      </c>
      <c r="D83" t="s">
        <v>27</v>
      </c>
      <c r="E83">
        <v>2020</v>
      </c>
      <c r="G83" s="3">
        <v>9999</v>
      </c>
      <c r="H83" s="3">
        <v>0</v>
      </c>
      <c r="I83" s="9">
        <v>5.44E-4</v>
      </c>
      <c r="J83" s="9">
        <v>5.44E-4</v>
      </c>
      <c r="K83" s="9">
        <v>5.44E-4</v>
      </c>
      <c r="L83">
        <v>12498.75</v>
      </c>
      <c r="M83">
        <v>7499.25</v>
      </c>
    </row>
    <row r="84" spans="1:14" x14ac:dyDescent="0.3">
      <c r="A84" t="s">
        <v>40</v>
      </c>
      <c r="B84" t="s">
        <v>22</v>
      </c>
      <c r="C84" t="s">
        <v>31</v>
      </c>
      <c r="D84" t="s">
        <v>28</v>
      </c>
      <c r="E84">
        <v>2020</v>
      </c>
      <c r="G84" s="3">
        <f>G80*1.2</f>
        <v>5.2361323623529417E-2</v>
      </c>
      <c r="H84" s="3">
        <f>0.9*H79</f>
        <v>12.240000000000002</v>
      </c>
      <c r="I84" s="9">
        <v>5.44E-4</v>
      </c>
      <c r="J84" s="9">
        <v>5.44E-4</v>
      </c>
      <c r="K84" s="9">
        <v>5.44E-4</v>
      </c>
      <c r="L84">
        <v>6.545165453E-2</v>
      </c>
      <c r="M84">
        <v>3.9270992720000002E-2</v>
      </c>
    </row>
    <row r="85" spans="1:14" x14ac:dyDescent="0.3">
      <c r="A85" t="s">
        <v>40</v>
      </c>
      <c r="B85" t="s">
        <v>22</v>
      </c>
      <c r="C85" t="s">
        <v>31</v>
      </c>
      <c r="D85" t="s">
        <v>13</v>
      </c>
      <c r="E85">
        <v>2020</v>
      </c>
      <c r="G85" s="3">
        <f>G84*1.05</f>
        <v>5.4979389804705889E-2</v>
      </c>
      <c r="H85" s="3">
        <f>H79*0.24</f>
        <v>3.2640000000000002</v>
      </c>
      <c r="I85" s="9">
        <v>5.44E-4</v>
      </c>
      <c r="J85" s="9">
        <v>5.44E-4</v>
      </c>
      <c r="K85" s="9">
        <v>5.44E-4</v>
      </c>
      <c r="L85">
        <v>6.8724237260000001E-2</v>
      </c>
      <c r="M85">
        <v>4.123454235E-2</v>
      </c>
    </row>
    <row r="86" spans="1:14" x14ac:dyDescent="0.3">
      <c r="A86" t="s">
        <v>32</v>
      </c>
      <c r="B86" t="s">
        <v>7</v>
      </c>
      <c r="C86" t="s">
        <v>33</v>
      </c>
      <c r="D86" t="s">
        <v>9</v>
      </c>
      <c r="E86">
        <v>2020</v>
      </c>
      <c r="F86">
        <f>1.2*F87</f>
        <v>1.44E-2</v>
      </c>
      <c r="G86" s="5">
        <f>F86*$Q$2</f>
        <v>0.13867200000000002</v>
      </c>
      <c r="H86" s="4">
        <v>18.8</v>
      </c>
      <c r="I86" s="10">
        <v>5.44E-4</v>
      </c>
      <c r="J86" s="10">
        <v>5.44E-4</v>
      </c>
      <c r="K86" s="10">
        <v>5.44E-4</v>
      </c>
      <c r="L86">
        <v>0.13867199999999999</v>
      </c>
      <c r="M86">
        <v>0.13867199999999999</v>
      </c>
      <c r="N86" t="s">
        <v>49</v>
      </c>
    </row>
    <row r="87" spans="1:14" x14ac:dyDescent="0.3">
      <c r="A87" t="s">
        <v>32</v>
      </c>
      <c r="B87" t="s">
        <v>7</v>
      </c>
      <c r="C87" t="s">
        <v>33</v>
      </c>
      <c r="D87" t="s">
        <v>34</v>
      </c>
      <c r="E87">
        <v>2020</v>
      </c>
      <c r="F87">
        <v>1.2E-2</v>
      </c>
      <c r="G87" s="5">
        <f t="shared" ref="G87:G91" si="2">F87*$Q$2</f>
        <v>0.11556000000000001</v>
      </c>
      <c r="H87" s="4">
        <v>0</v>
      </c>
      <c r="I87" s="10">
        <v>5.44E-4</v>
      </c>
      <c r="J87" s="10">
        <v>5.44E-4</v>
      </c>
      <c r="K87" s="10">
        <v>5.44E-4</v>
      </c>
      <c r="L87">
        <v>0.11556</v>
      </c>
      <c r="M87">
        <v>0.11556</v>
      </c>
    </row>
    <row r="88" spans="1:14" x14ac:dyDescent="0.3">
      <c r="A88" t="s">
        <v>32</v>
      </c>
      <c r="B88" t="s">
        <v>7</v>
      </c>
      <c r="C88" t="s">
        <v>33</v>
      </c>
      <c r="D88" t="s">
        <v>35</v>
      </c>
      <c r="E88">
        <v>2020</v>
      </c>
      <c r="F88">
        <f>1.1*F86</f>
        <v>1.584E-2</v>
      </c>
      <c r="G88" s="5">
        <f t="shared" si="2"/>
        <v>0.15253920000000001</v>
      </c>
      <c r="H88" s="4">
        <f>H86*0.7</f>
        <v>13.16</v>
      </c>
      <c r="I88" s="10">
        <v>5.44E-4</v>
      </c>
      <c r="J88" s="10">
        <v>5.44E-4</v>
      </c>
      <c r="K88" s="10">
        <v>5.44E-4</v>
      </c>
      <c r="L88">
        <v>0.19067400000000001</v>
      </c>
      <c r="M88">
        <v>0.1144044</v>
      </c>
      <c r="N88" t="s">
        <v>50</v>
      </c>
    </row>
    <row r="89" spans="1:14" x14ac:dyDescent="0.3">
      <c r="A89" t="s">
        <v>32</v>
      </c>
      <c r="B89" t="s">
        <v>7</v>
      </c>
      <c r="C89" t="s">
        <v>33</v>
      </c>
      <c r="D89" t="s">
        <v>36</v>
      </c>
      <c r="E89">
        <v>2020</v>
      </c>
      <c r="F89">
        <f>1.2*F86</f>
        <v>1.728E-2</v>
      </c>
      <c r="G89" s="5">
        <f t="shared" si="2"/>
        <v>0.16640640000000001</v>
      </c>
      <c r="H89" s="4">
        <v>0</v>
      </c>
      <c r="I89" s="10">
        <v>5.44E-4</v>
      </c>
      <c r="J89" s="10">
        <v>5.44E-4</v>
      </c>
      <c r="K89" s="10">
        <v>5.44E-4</v>
      </c>
      <c r="L89">
        <v>0.208008</v>
      </c>
      <c r="M89">
        <v>0.12480479999999999</v>
      </c>
    </row>
    <row r="90" spans="1:14" x14ac:dyDescent="0.3">
      <c r="A90" t="s">
        <v>32</v>
      </c>
      <c r="B90" t="s">
        <v>7</v>
      </c>
      <c r="C90" t="s">
        <v>33</v>
      </c>
      <c r="D90" t="s">
        <v>11</v>
      </c>
      <c r="E90">
        <v>2020</v>
      </c>
      <c r="F90">
        <f>F86*2</f>
        <v>2.8799999999999999E-2</v>
      </c>
      <c r="G90" s="5">
        <f t="shared" si="2"/>
        <v>0.27734400000000003</v>
      </c>
      <c r="H90" s="4">
        <v>0</v>
      </c>
      <c r="I90" s="10">
        <v>5.44E-4</v>
      </c>
      <c r="J90" s="10">
        <v>5.44E-4</v>
      </c>
      <c r="K90" s="10">
        <v>5.44E-4</v>
      </c>
      <c r="L90">
        <v>0.34667999999999999</v>
      </c>
      <c r="M90">
        <v>0.208008</v>
      </c>
    </row>
    <row r="91" spans="1:14" x14ac:dyDescent="0.3">
      <c r="A91" t="s">
        <v>32</v>
      </c>
      <c r="B91" t="s">
        <v>7</v>
      </c>
      <c r="C91" t="s">
        <v>33</v>
      </c>
      <c r="D91" t="s">
        <v>12</v>
      </c>
      <c r="E91">
        <v>2020</v>
      </c>
      <c r="F91">
        <f>F86*1.05</f>
        <v>1.512E-2</v>
      </c>
      <c r="G91" s="5">
        <f t="shared" si="2"/>
        <v>0.1456056</v>
      </c>
      <c r="H91" s="4">
        <f>H86*0.2</f>
        <v>3.7600000000000002</v>
      </c>
      <c r="I91" s="10">
        <v>5.44E-4</v>
      </c>
      <c r="J91" s="10">
        <v>5.44E-4</v>
      </c>
      <c r="K91" s="10">
        <v>5.44E-4</v>
      </c>
      <c r="L91">
        <v>0.182007</v>
      </c>
      <c r="M91">
        <v>0.1092042</v>
      </c>
      <c r="N91" t="s">
        <v>51</v>
      </c>
    </row>
    <row r="92" spans="1:14" x14ac:dyDescent="0.3">
      <c r="A92" t="s">
        <v>32</v>
      </c>
      <c r="B92" t="s">
        <v>14</v>
      </c>
      <c r="C92" t="s">
        <v>37</v>
      </c>
      <c r="D92" t="s">
        <v>9</v>
      </c>
      <c r="E92">
        <v>2020</v>
      </c>
      <c r="F92">
        <f>F93*1.2</f>
        <v>2.0400000000000001E-2</v>
      </c>
      <c r="G92" s="4">
        <f>F92*$Q$2</f>
        <v>0.19645200000000004</v>
      </c>
      <c r="H92" s="4">
        <v>17.899999999999999</v>
      </c>
      <c r="I92" s="10">
        <v>5.44E-4</v>
      </c>
      <c r="J92" s="10">
        <v>5.44E-4</v>
      </c>
      <c r="K92" s="10">
        <v>5.44E-4</v>
      </c>
      <c r="L92">
        <v>0.19645199999999999</v>
      </c>
      <c r="M92">
        <v>0.19645199999999999</v>
      </c>
    </row>
    <row r="93" spans="1:14" x14ac:dyDescent="0.3">
      <c r="A93" t="s">
        <v>32</v>
      </c>
      <c r="B93" t="s">
        <v>14</v>
      </c>
      <c r="C93" t="s">
        <v>37</v>
      </c>
      <c r="D93" t="s">
        <v>34</v>
      </c>
      <c r="E93">
        <v>2020</v>
      </c>
      <c r="F93">
        <f>0.017</f>
        <v>1.7000000000000001E-2</v>
      </c>
      <c r="G93" s="4">
        <f>F93*$Q$2</f>
        <v>0.16371000000000002</v>
      </c>
      <c r="H93" s="4">
        <v>0</v>
      </c>
      <c r="I93" s="10">
        <v>5.44E-4</v>
      </c>
      <c r="J93" s="10">
        <v>5.44E-4</v>
      </c>
      <c r="K93" s="10">
        <v>5.44E-4</v>
      </c>
      <c r="L93">
        <v>0.16370999999999999</v>
      </c>
      <c r="M93">
        <v>0.16370999999999999</v>
      </c>
    </row>
    <row r="94" spans="1:14" x14ac:dyDescent="0.3">
      <c r="A94" t="s">
        <v>32</v>
      </c>
      <c r="B94" t="s">
        <v>14</v>
      </c>
      <c r="C94" t="s">
        <v>37</v>
      </c>
      <c r="D94" t="s">
        <v>35</v>
      </c>
      <c r="E94">
        <v>2020</v>
      </c>
      <c r="F94">
        <f>1.1*F92</f>
        <v>2.2440000000000005E-2</v>
      </c>
      <c r="G94" s="4">
        <f t="shared" ref="G94:G97" si="3">F94*$Q$2</f>
        <v>0.21609720000000007</v>
      </c>
      <c r="H94" s="4">
        <f>H92*0.7</f>
        <v>12.529999999999998</v>
      </c>
      <c r="I94" s="10">
        <v>5.44E-4</v>
      </c>
      <c r="J94" s="10">
        <v>5.44E-4</v>
      </c>
      <c r="K94" s="10">
        <v>5.44E-4</v>
      </c>
      <c r="L94">
        <v>0.27012150000000001</v>
      </c>
      <c r="M94">
        <v>0.16207289999999999</v>
      </c>
    </row>
    <row r="95" spans="1:14" x14ac:dyDescent="0.3">
      <c r="A95" t="s">
        <v>32</v>
      </c>
      <c r="B95" t="s">
        <v>14</v>
      </c>
      <c r="C95" t="s">
        <v>37</v>
      </c>
      <c r="D95" t="s">
        <v>36</v>
      </c>
      <c r="E95">
        <v>2020</v>
      </c>
      <c r="F95">
        <f>F92*1.2</f>
        <v>2.4480000000000002E-2</v>
      </c>
      <c r="G95" s="4">
        <f t="shared" si="3"/>
        <v>0.23574240000000005</v>
      </c>
      <c r="H95" s="4">
        <v>0</v>
      </c>
      <c r="I95" s="10">
        <v>5.44E-4</v>
      </c>
      <c r="J95" s="10">
        <v>5.44E-4</v>
      </c>
      <c r="K95" s="10">
        <v>5.44E-4</v>
      </c>
      <c r="L95">
        <v>0.294678</v>
      </c>
      <c r="M95">
        <v>0.17680679999999999</v>
      </c>
    </row>
    <row r="96" spans="1:14" x14ac:dyDescent="0.3">
      <c r="A96" t="s">
        <v>32</v>
      </c>
      <c r="B96" t="s">
        <v>14</v>
      </c>
      <c r="C96" t="s">
        <v>37</v>
      </c>
      <c r="D96" t="s">
        <v>11</v>
      </c>
      <c r="E96">
        <v>2020</v>
      </c>
      <c r="F96">
        <f>F92*2</f>
        <v>4.0800000000000003E-2</v>
      </c>
      <c r="G96" s="4">
        <f t="shared" si="3"/>
        <v>0.39290400000000009</v>
      </c>
      <c r="H96" s="4">
        <v>0</v>
      </c>
      <c r="I96" s="10">
        <v>5.44E-4</v>
      </c>
      <c r="J96" s="10">
        <v>5.44E-4</v>
      </c>
      <c r="K96" s="10">
        <v>5.44E-4</v>
      </c>
      <c r="L96">
        <v>0.49113000000000001</v>
      </c>
      <c r="M96">
        <v>0.294678</v>
      </c>
    </row>
    <row r="97" spans="1:13" x14ac:dyDescent="0.3">
      <c r="A97" t="s">
        <v>32</v>
      </c>
      <c r="B97" t="s">
        <v>14</v>
      </c>
      <c r="C97" t="s">
        <v>37</v>
      </c>
      <c r="D97" t="s">
        <v>12</v>
      </c>
      <c r="E97">
        <v>2020</v>
      </c>
      <c r="F97">
        <f>F92*1.05</f>
        <v>2.1420000000000002E-2</v>
      </c>
      <c r="G97" s="4">
        <f t="shared" si="3"/>
        <v>0.20627460000000003</v>
      </c>
      <c r="H97" s="4">
        <f>H92*0.2</f>
        <v>3.58</v>
      </c>
      <c r="I97" s="10">
        <v>5.44E-4</v>
      </c>
      <c r="J97" s="10">
        <v>5.44E-4</v>
      </c>
      <c r="K97" s="10">
        <v>5.44E-4</v>
      </c>
      <c r="L97">
        <v>0.25784325000000002</v>
      </c>
      <c r="M97">
        <v>0.15470595000000001</v>
      </c>
    </row>
    <row r="98" spans="1:13" x14ac:dyDescent="0.3">
      <c r="A98" t="s">
        <v>32</v>
      </c>
      <c r="B98" t="s">
        <v>16</v>
      </c>
      <c r="C98" t="s">
        <v>37</v>
      </c>
      <c r="D98" t="s">
        <v>9</v>
      </c>
      <c r="E98">
        <v>2020</v>
      </c>
      <c r="F98">
        <f>F99*1.2</f>
        <v>2.0400000000000001E-2</v>
      </c>
      <c r="G98" s="4">
        <f>F98*$Q$2</f>
        <v>0.19645200000000004</v>
      </c>
      <c r="H98" s="4">
        <v>17.899999999999999</v>
      </c>
      <c r="I98" s="10">
        <v>5.44E-4</v>
      </c>
      <c r="J98" s="10">
        <v>5.44E-4</v>
      </c>
      <c r="K98" s="10">
        <v>5.44E-4</v>
      </c>
      <c r="L98">
        <v>0.19645199999999999</v>
      </c>
      <c r="M98">
        <v>0.19645199999999999</v>
      </c>
    </row>
    <row r="99" spans="1:13" x14ac:dyDescent="0.3">
      <c r="A99" t="s">
        <v>32</v>
      </c>
      <c r="B99" t="s">
        <v>16</v>
      </c>
      <c r="C99" t="s">
        <v>37</v>
      </c>
      <c r="D99" t="s">
        <v>34</v>
      </c>
      <c r="E99">
        <v>2020</v>
      </c>
      <c r="F99">
        <f>0.017</f>
        <v>1.7000000000000001E-2</v>
      </c>
      <c r="G99" s="4">
        <f>F99*$Q$2</f>
        <v>0.16371000000000002</v>
      </c>
      <c r="H99" s="4">
        <v>0</v>
      </c>
      <c r="I99" s="10">
        <v>5.44E-4</v>
      </c>
      <c r="J99" s="10">
        <v>5.44E-4</v>
      </c>
      <c r="K99" s="10">
        <v>5.44E-4</v>
      </c>
      <c r="L99">
        <v>0.16370999999999999</v>
      </c>
      <c r="M99">
        <v>0.16370999999999999</v>
      </c>
    </row>
    <row r="100" spans="1:13" x14ac:dyDescent="0.3">
      <c r="A100" t="s">
        <v>32</v>
      </c>
      <c r="B100" t="s">
        <v>16</v>
      </c>
      <c r="C100" t="s">
        <v>37</v>
      </c>
      <c r="D100" t="s">
        <v>35</v>
      </c>
      <c r="E100">
        <v>2020</v>
      </c>
      <c r="F100">
        <f>1.1*F98</f>
        <v>2.2440000000000005E-2</v>
      </c>
      <c r="G100" s="4">
        <f t="shared" ref="G100:G103" si="4">F100*$Q$2</f>
        <v>0.21609720000000007</v>
      </c>
      <c r="H100" s="4">
        <f>H98*0.7</f>
        <v>12.529999999999998</v>
      </c>
      <c r="I100" s="10">
        <v>5.44E-4</v>
      </c>
      <c r="J100" s="10">
        <v>5.44E-4</v>
      </c>
      <c r="K100" s="10">
        <v>5.44E-4</v>
      </c>
      <c r="L100">
        <v>0.27012150000000001</v>
      </c>
      <c r="M100">
        <v>0.16207289999999999</v>
      </c>
    </row>
    <row r="101" spans="1:13" x14ac:dyDescent="0.3">
      <c r="A101" t="s">
        <v>32</v>
      </c>
      <c r="B101" t="s">
        <v>16</v>
      </c>
      <c r="C101" t="s">
        <v>37</v>
      </c>
      <c r="D101" t="s">
        <v>36</v>
      </c>
      <c r="E101">
        <v>2020</v>
      </c>
      <c r="F101">
        <f>F98*1.2</f>
        <v>2.4480000000000002E-2</v>
      </c>
      <c r="G101" s="4">
        <f t="shared" si="4"/>
        <v>0.23574240000000005</v>
      </c>
      <c r="H101" s="4">
        <v>0</v>
      </c>
      <c r="I101" s="10">
        <v>5.44E-4</v>
      </c>
      <c r="J101" s="10">
        <v>5.44E-4</v>
      </c>
      <c r="K101" s="10">
        <v>5.44E-4</v>
      </c>
      <c r="L101">
        <v>0.294678</v>
      </c>
      <c r="M101">
        <v>0.17680679999999999</v>
      </c>
    </row>
    <row r="102" spans="1:13" x14ac:dyDescent="0.3">
      <c r="A102" t="s">
        <v>32</v>
      </c>
      <c r="B102" t="s">
        <v>16</v>
      </c>
      <c r="C102" t="s">
        <v>37</v>
      </c>
      <c r="D102" t="s">
        <v>11</v>
      </c>
      <c r="E102">
        <v>2020</v>
      </c>
      <c r="F102">
        <f>F98*2</f>
        <v>4.0800000000000003E-2</v>
      </c>
      <c r="G102" s="4">
        <f t="shared" si="4"/>
        <v>0.39290400000000009</v>
      </c>
      <c r="H102" s="4">
        <v>0</v>
      </c>
      <c r="I102" s="10">
        <v>5.44E-4</v>
      </c>
      <c r="J102" s="10">
        <v>5.44E-4</v>
      </c>
      <c r="K102" s="10">
        <v>5.44E-4</v>
      </c>
      <c r="L102">
        <v>0.49113000000000001</v>
      </c>
      <c r="M102">
        <v>0.294678</v>
      </c>
    </row>
    <row r="103" spans="1:13" x14ac:dyDescent="0.3">
      <c r="A103" t="s">
        <v>32</v>
      </c>
      <c r="B103" t="s">
        <v>16</v>
      </c>
      <c r="C103" t="s">
        <v>37</v>
      </c>
      <c r="D103" t="s">
        <v>12</v>
      </c>
      <c r="E103">
        <v>2020</v>
      </c>
      <c r="F103">
        <f>F98*1.05</f>
        <v>2.1420000000000002E-2</v>
      </c>
      <c r="G103" s="4">
        <f t="shared" si="4"/>
        <v>0.20627460000000003</v>
      </c>
      <c r="H103" s="4">
        <f>H98*0.2</f>
        <v>3.58</v>
      </c>
      <c r="I103" s="10">
        <v>5.44E-4</v>
      </c>
      <c r="J103" s="10">
        <v>5.44E-4</v>
      </c>
      <c r="K103" s="10">
        <v>5.44E-4</v>
      </c>
      <c r="L103">
        <v>0.25784325000000002</v>
      </c>
      <c r="M103">
        <v>0.15470595000000001</v>
      </c>
    </row>
    <row r="104" spans="1:13" x14ac:dyDescent="0.3">
      <c r="A104" t="s">
        <v>32</v>
      </c>
      <c r="B104" t="s">
        <v>65</v>
      </c>
      <c r="C104" t="s">
        <v>37</v>
      </c>
      <c r="D104" t="s">
        <v>9</v>
      </c>
      <c r="E104">
        <v>2020</v>
      </c>
      <c r="F104">
        <f>F105*1.2</f>
        <v>2.0400000000000001E-2</v>
      </c>
      <c r="G104" s="4">
        <f>F104*$Q$2</f>
        <v>0.19645200000000004</v>
      </c>
      <c r="H104" s="4">
        <v>17.899999999999999</v>
      </c>
      <c r="I104" s="10">
        <v>5.44E-4</v>
      </c>
      <c r="J104" s="10">
        <v>5.44E-4</v>
      </c>
      <c r="K104" s="10">
        <v>5.44E-4</v>
      </c>
      <c r="L104">
        <v>0.19645199999999999</v>
      </c>
      <c r="M104">
        <v>0.19645199999999999</v>
      </c>
    </row>
    <row r="105" spans="1:13" x14ac:dyDescent="0.3">
      <c r="A105" t="s">
        <v>32</v>
      </c>
      <c r="B105" t="s">
        <v>65</v>
      </c>
      <c r="C105" t="s">
        <v>37</v>
      </c>
      <c r="D105" t="s">
        <v>34</v>
      </c>
      <c r="E105">
        <v>2020</v>
      </c>
      <c r="F105">
        <f>0.017</f>
        <v>1.7000000000000001E-2</v>
      </c>
      <c r="G105" s="4">
        <f>F105*$Q$2</f>
        <v>0.16371000000000002</v>
      </c>
      <c r="H105" s="4">
        <v>0</v>
      </c>
      <c r="I105" s="10">
        <v>5.44E-4</v>
      </c>
      <c r="J105" s="10">
        <v>5.44E-4</v>
      </c>
      <c r="K105" s="10">
        <v>5.44E-4</v>
      </c>
      <c r="L105">
        <v>0.16370999999999999</v>
      </c>
      <c r="M105">
        <v>0.16370999999999999</v>
      </c>
    </row>
    <row r="106" spans="1:13" x14ac:dyDescent="0.3">
      <c r="A106" t="s">
        <v>32</v>
      </c>
      <c r="B106" t="s">
        <v>65</v>
      </c>
      <c r="C106" t="s">
        <v>37</v>
      </c>
      <c r="D106" t="s">
        <v>35</v>
      </c>
      <c r="E106">
        <v>2020</v>
      </c>
      <c r="F106">
        <f>1.1*F104</f>
        <v>2.2440000000000005E-2</v>
      </c>
      <c r="G106" s="4">
        <f t="shared" ref="G106:G109" si="5">F106*$Q$2</f>
        <v>0.21609720000000007</v>
      </c>
      <c r="H106" s="4">
        <f>H104*0.7</f>
        <v>12.529999999999998</v>
      </c>
      <c r="I106" s="10">
        <v>5.44E-4</v>
      </c>
      <c r="J106" s="10">
        <v>5.44E-4</v>
      </c>
      <c r="K106" s="10">
        <v>5.44E-4</v>
      </c>
      <c r="L106">
        <v>0.27012150000000001</v>
      </c>
      <c r="M106">
        <v>0.16207289999999999</v>
      </c>
    </row>
    <row r="107" spans="1:13" x14ac:dyDescent="0.3">
      <c r="A107" t="s">
        <v>32</v>
      </c>
      <c r="B107" t="s">
        <v>65</v>
      </c>
      <c r="C107" t="s">
        <v>37</v>
      </c>
      <c r="D107" t="s">
        <v>36</v>
      </c>
      <c r="E107">
        <v>2020</v>
      </c>
      <c r="F107">
        <f>F104*1.2</f>
        <v>2.4480000000000002E-2</v>
      </c>
      <c r="G107" s="4">
        <f t="shared" si="5"/>
        <v>0.23574240000000005</v>
      </c>
      <c r="H107" s="4">
        <v>0</v>
      </c>
      <c r="I107" s="10">
        <v>5.44E-4</v>
      </c>
      <c r="J107" s="10">
        <v>5.44E-4</v>
      </c>
      <c r="K107" s="10">
        <v>5.44E-4</v>
      </c>
      <c r="L107">
        <v>0.294678</v>
      </c>
      <c r="M107">
        <v>0.17680679999999999</v>
      </c>
    </row>
    <row r="108" spans="1:13" x14ac:dyDescent="0.3">
      <c r="A108" t="s">
        <v>32</v>
      </c>
      <c r="B108" t="s">
        <v>65</v>
      </c>
      <c r="C108" t="s">
        <v>37</v>
      </c>
      <c r="D108" t="s">
        <v>11</v>
      </c>
      <c r="E108">
        <v>2020</v>
      </c>
      <c r="F108">
        <f>F104*2</f>
        <v>4.0800000000000003E-2</v>
      </c>
      <c r="G108" s="4">
        <f t="shared" si="5"/>
        <v>0.39290400000000009</v>
      </c>
      <c r="H108" s="4">
        <v>0</v>
      </c>
      <c r="I108" s="10">
        <v>5.44E-4</v>
      </c>
      <c r="J108" s="10">
        <v>5.44E-4</v>
      </c>
      <c r="K108" s="10">
        <v>5.44E-4</v>
      </c>
      <c r="L108">
        <v>0.49113000000000001</v>
      </c>
      <c r="M108">
        <v>0.294678</v>
      </c>
    </row>
    <row r="109" spans="1:13" x14ac:dyDescent="0.3">
      <c r="A109" t="s">
        <v>32</v>
      </c>
      <c r="B109" t="s">
        <v>65</v>
      </c>
      <c r="C109" t="s">
        <v>37</v>
      </c>
      <c r="D109" t="s">
        <v>12</v>
      </c>
      <c r="E109">
        <v>2020</v>
      </c>
      <c r="F109">
        <f>F104*1.05</f>
        <v>2.1420000000000002E-2</v>
      </c>
      <c r="G109" s="4">
        <f t="shared" si="5"/>
        <v>0.20627460000000003</v>
      </c>
      <c r="H109" s="4">
        <f>H104*0.2</f>
        <v>3.58</v>
      </c>
      <c r="I109" s="10">
        <v>5.44E-4</v>
      </c>
      <c r="J109" s="10">
        <v>5.44E-4</v>
      </c>
      <c r="K109" s="10">
        <v>5.44E-4</v>
      </c>
      <c r="L109">
        <v>0.25784325000000002</v>
      </c>
      <c r="M109">
        <v>0.15470595000000001</v>
      </c>
    </row>
    <row r="110" spans="1:13" x14ac:dyDescent="0.3">
      <c r="A110" t="s">
        <v>32</v>
      </c>
      <c r="B110" t="s">
        <v>18</v>
      </c>
      <c r="C110" t="s">
        <v>37</v>
      </c>
      <c r="D110" t="s">
        <v>9</v>
      </c>
      <c r="E110">
        <v>2020</v>
      </c>
      <c r="F110">
        <f>F111*1.2</f>
        <v>2.0400000000000001E-2</v>
      </c>
      <c r="G110" s="4">
        <f>F110*$Q$2</f>
        <v>0.19645200000000004</v>
      </c>
      <c r="H110" s="4">
        <v>17.899999999999999</v>
      </c>
      <c r="I110" s="10">
        <v>5.44E-4</v>
      </c>
      <c r="J110" s="10">
        <v>5.44E-4</v>
      </c>
      <c r="K110" s="10">
        <v>5.44E-4</v>
      </c>
      <c r="L110">
        <v>0.19645199999999999</v>
      </c>
      <c r="M110">
        <v>0.19645199999999999</v>
      </c>
    </row>
    <row r="111" spans="1:13" x14ac:dyDescent="0.3">
      <c r="A111" t="s">
        <v>32</v>
      </c>
      <c r="B111" t="s">
        <v>18</v>
      </c>
      <c r="C111" t="s">
        <v>37</v>
      </c>
      <c r="D111" t="s">
        <v>34</v>
      </c>
      <c r="E111">
        <v>2020</v>
      </c>
      <c r="F111">
        <f>0.017</f>
        <v>1.7000000000000001E-2</v>
      </c>
      <c r="G111" s="4">
        <f>F111*$Q$2</f>
        <v>0.16371000000000002</v>
      </c>
      <c r="H111" s="4">
        <v>0</v>
      </c>
      <c r="I111" s="10">
        <v>5.44E-4</v>
      </c>
      <c r="J111" s="10">
        <v>5.44E-4</v>
      </c>
      <c r="K111" s="10">
        <v>5.44E-4</v>
      </c>
      <c r="L111">
        <v>0.16370999999999999</v>
      </c>
      <c r="M111">
        <v>0.16370999999999999</v>
      </c>
    </row>
    <row r="112" spans="1:13" x14ac:dyDescent="0.3">
      <c r="A112" t="s">
        <v>32</v>
      </c>
      <c r="B112" t="s">
        <v>18</v>
      </c>
      <c r="C112" t="s">
        <v>37</v>
      </c>
      <c r="D112" t="s">
        <v>35</v>
      </c>
      <c r="E112">
        <v>2020</v>
      </c>
      <c r="F112">
        <f>1.1*F110</f>
        <v>2.2440000000000005E-2</v>
      </c>
      <c r="G112" s="4">
        <f t="shared" ref="G112:G115" si="6">F112*$Q$2</f>
        <v>0.21609720000000007</v>
      </c>
      <c r="H112" s="4">
        <f>H110*0.7</f>
        <v>12.529999999999998</v>
      </c>
      <c r="I112" s="10">
        <v>5.44E-4</v>
      </c>
      <c r="J112" s="10">
        <v>5.44E-4</v>
      </c>
      <c r="K112" s="10">
        <v>5.44E-4</v>
      </c>
      <c r="L112">
        <v>0.27012150000000001</v>
      </c>
      <c r="M112">
        <v>0.16207289999999999</v>
      </c>
    </row>
    <row r="113" spans="1:15" x14ac:dyDescent="0.3">
      <c r="A113" t="s">
        <v>32</v>
      </c>
      <c r="B113" t="s">
        <v>18</v>
      </c>
      <c r="C113" t="s">
        <v>37</v>
      </c>
      <c r="D113" t="s">
        <v>36</v>
      </c>
      <c r="E113">
        <v>2020</v>
      </c>
      <c r="F113">
        <f>F110*1.2</f>
        <v>2.4480000000000002E-2</v>
      </c>
      <c r="G113" s="4">
        <f t="shared" si="6"/>
        <v>0.23574240000000005</v>
      </c>
      <c r="H113" s="4">
        <v>0</v>
      </c>
      <c r="I113" s="10">
        <v>5.44E-4</v>
      </c>
      <c r="J113" s="10">
        <v>5.44E-4</v>
      </c>
      <c r="K113" s="10">
        <v>5.44E-4</v>
      </c>
      <c r="L113">
        <v>0.294678</v>
      </c>
      <c r="M113">
        <v>0.17680679999999999</v>
      </c>
    </row>
    <row r="114" spans="1:15" x14ac:dyDescent="0.3">
      <c r="A114" t="s">
        <v>32</v>
      </c>
      <c r="B114" t="s">
        <v>18</v>
      </c>
      <c r="C114" t="s">
        <v>37</v>
      </c>
      <c r="D114" t="s">
        <v>11</v>
      </c>
      <c r="E114">
        <v>2020</v>
      </c>
      <c r="F114">
        <f>F110*2</f>
        <v>4.0800000000000003E-2</v>
      </c>
      <c r="G114" s="4">
        <f t="shared" si="6"/>
        <v>0.39290400000000009</v>
      </c>
      <c r="H114" s="4">
        <v>0</v>
      </c>
      <c r="I114" s="10">
        <v>5.44E-4</v>
      </c>
      <c r="J114" s="10">
        <v>5.44E-4</v>
      </c>
      <c r="K114" s="10">
        <v>5.44E-4</v>
      </c>
      <c r="L114">
        <v>0.49113000000000001</v>
      </c>
      <c r="M114">
        <v>0.294678</v>
      </c>
    </row>
    <row r="115" spans="1:15" x14ac:dyDescent="0.3">
      <c r="A115" t="s">
        <v>32</v>
      </c>
      <c r="B115" t="s">
        <v>18</v>
      </c>
      <c r="C115" t="s">
        <v>37</v>
      </c>
      <c r="D115" t="s">
        <v>12</v>
      </c>
      <c r="E115">
        <v>2020</v>
      </c>
      <c r="F115">
        <f>F110*1.05</f>
        <v>2.1420000000000002E-2</v>
      </c>
      <c r="G115" s="4">
        <f t="shared" si="6"/>
        <v>0.20627460000000003</v>
      </c>
      <c r="H115" s="4">
        <f>H110*0.2</f>
        <v>3.58</v>
      </c>
      <c r="I115" s="10">
        <v>5.44E-4</v>
      </c>
      <c r="J115" s="10">
        <v>5.44E-4</v>
      </c>
      <c r="K115" s="10">
        <v>5.44E-4</v>
      </c>
      <c r="L115">
        <v>0.25784325000000002</v>
      </c>
      <c r="M115">
        <v>0.15470595000000001</v>
      </c>
    </row>
    <row r="116" spans="1:15" x14ac:dyDescent="0.3">
      <c r="A116" t="s">
        <v>32</v>
      </c>
      <c r="B116" t="s">
        <v>20</v>
      </c>
      <c r="C116" t="s">
        <v>38</v>
      </c>
      <c r="D116" t="s">
        <v>9</v>
      </c>
      <c r="E116">
        <v>2020</v>
      </c>
      <c r="F116">
        <f>F117*1.2</f>
        <v>2.0400000000000001E-2</v>
      </c>
      <c r="G116" s="4">
        <f>F116*$Q$2</f>
        <v>0.19645200000000004</v>
      </c>
      <c r="H116" s="4">
        <v>30.8</v>
      </c>
      <c r="I116" s="10">
        <v>5.44E-4</v>
      </c>
      <c r="J116" s="10">
        <v>5.44E-4</v>
      </c>
      <c r="K116" s="10">
        <v>5.44E-4</v>
      </c>
      <c r="L116">
        <v>0.19645199999999999</v>
      </c>
      <c r="M116">
        <v>0.19645199999999999</v>
      </c>
      <c r="N116" t="s">
        <v>52</v>
      </c>
    </row>
    <row r="117" spans="1:15" x14ac:dyDescent="0.3">
      <c r="A117" t="s">
        <v>32</v>
      </c>
      <c r="B117" t="s">
        <v>20</v>
      </c>
      <c r="C117" t="s">
        <v>38</v>
      </c>
      <c r="D117" t="s">
        <v>34</v>
      </c>
      <c r="E117">
        <v>2020</v>
      </c>
      <c r="F117">
        <f>0.017</f>
        <v>1.7000000000000001E-2</v>
      </c>
      <c r="G117" s="4">
        <f>F117*$Q$2</f>
        <v>0.16371000000000002</v>
      </c>
      <c r="H117" s="4">
        <v>0</v>
      </c>
      <c r="I117" s="10">
        <v>5.44E-4</v>
      </c>
      <c r="J117" s="10">
        <v>5.44E-4</v>
      </c>
      <c r="K117" s="10">
        <v>5.44E-4</v>
      </c>
      <c r="L117">
        <v>0.16370999999999999</v>
      </c>
      <c r="M117">
        <v>0.16370999999999999</v>
      </c>
      <c r="O117" t="s">
        <v>43</v>
      </c>
    </row>
    <row r="118" spans="1:15" x14ac:dyDescent="0.3">
      <c r="A118" t="s">
        <v>32</v>
      </c>
      <c r="B118" t="s">
        <v>20</v>
      </c>
      <c r="C118" t="s">
        <v>38</v>
      </c>
      <c r="D118" t="s">
        <v>35</v>
      </c>
      <c r="E118">
        <v>2020</v>
      </c>
      <c r="F118">
        <f>1.1*F116</f>
        <v>2.2440000000000005E-2</v>
      </c>
      <c r="G118" s="4">
        <f t="shared" ref="G118:G121" si="7">F118*$Q$2</f>
        <v>0.21609720000000007</v>
      </c>
      <c r="H118" s="4">
        <f>H116*0.7</f>
        <v>21.56</v>
      </c>
      <c r="I118" s="10">
        <v>5.44E-4</v>
      </c>
      <c r="J118" s="10">
        <v>5.44E-4</v>
      </c>
      <c r="K118" s="10">
        <v>5.44E-4</v>
      </c>
      <c r="L118">
        <v>0.27012150000000001</v>
      </c>
      <c r="M118">
        <v>0.16207289999999999</v>
      </c>
      <c r="O118" t="s">
        <v>47</v>
      </c>
    </row>
    <row r="119" spans="1:15" x14ac:dyDescent="0.3">
      <c r="A119" t="s">
        <v>32</v>
      </c>
      <c r="B119" t="s">
        <v>20</v>
      </c>
      <c r="C119" t="s">
        <v>38</v>
      </c>
      <c r="D119" t="s">
        <v>36</v>
      </c>
      <c r="E119">
        <v>2020</v>
      </c>
      <c r="F119">
        <f>F116*1.2</f>
        <v>2.4480000000000002E-2</v>
      </c>
      <c r="G119" s="4">
        <f t="shared" si="7"/>
        <v>0.23574240000000005</v>
      </c>
      <c r="H119" s="4">
        <v>0</v>
      </c>
      <c r="I119" s="10">
        <v>5.44E-4</v>
      </c>
      <c r="J119" s="10">
        <v>5.44E-4</v>
      </c>
      <c r="K119" s="10">
        <v>5.44E-4</v>
      </c>
      <c r="L119">
        <v>0.294678</v>
      </c>
      <c r="M119">
        <v>0.17680679999999999</v>
      </c>
    </row>
    <row r="120" spans="1:15" x14ac:dyDescent="0.3">
      <c r="A120" t="s">
        <v>32</v>
      </c>
      <c r="B120" t="s">
        <v>20</v>
      </c>
      <c r="C120" t="s">
        <v>38</v>
      </c>
      <c r="D120" t="s">
        <v>11</v>
      </c>
      <c r="E120">
        <v>2020</v>
      </c>
      <c r="F120">
        <f>F116*2</f>
        <v>4.0800000000000003E-2</v>
      </c>
      <c r="G120" s="4">
        <f t="shared" si="7"/>
        <v>0.39290400000000009</v>
      </c>
      <c r="H120" s="4">
        <v>0</v>
      </c>
      <c r="I120" s="10">
        <v>5.44E-4</v>
      </c>
      <c r="J120" s="10">
        <v>5.44E-4</v>
      </c>
      <c r="K120" s="10">
        <v>5.44E-4</v>
      </c>
      <c r="L120">
        <v>0.49113000000000001</v>
      </c>
      <c r="M120">
        <v>0.294678</v>
      </c>
    </row>
    <row r="121" spans="1:15" x14ac:dyDescent="0.3">
      <c r="A121" t="s">
        <v>32</v>
      </c>
      <c r="B121" t="s">
        <v>20</v>
      </c>
      <c r="C121" t="s">
        <v>38</v>
      </c>
      <c r="D121" t="s">
        <v>12</v>
      </c>
      <c r="E121">
        <v>2020</v>
      </c>
      <c r="F121">
        <f>F116*1.05</f>
        <v>2.1420000000000002E-2</v>
      </c>
      <c r="G121" s="4">
        <f t="shared" si="7"/>
        <v>0.20627460000000003</v>
      </c>
      <c r="H121" s="4">
        <f>H116*0.3</f>
        <v>9.24</v>
      </c>
      <c r="I121" s="10">
        <v>5.44E-4</v>
      </c>
      <c r="J121" s="10">
        <v>5.44E-4</v>
      </c>
      <c r="K121" s="10">
        <v>5.44E-4</v>
      </c>
      <c r="L121">
        <v>0.25784325000000002</v>
      </c>
      <c r="M121">
        <v>0.15470595000000001</v>
      </c>
    </row>
    <row r="122" spans="1:15" x14ac:dyDescent="0.3">
      <c r="A122" t="s">
        <v>32</v>
      </c>
      <c r="B122" t="s">
        <v>22</v>
      </c>
      <c r="C122" t="s">
        <v>39</v>
      </c>
      <c r="D122" t="s">
        <v>9</v>
      </c>
      <c r="E122">
        <v>2020</v>
      </c>
      <c r="F122">
        <f>F123*1.2</f>
        <v>1.7999999999999999E-2</v>
      </c>
      <c r="G122" s="4">
        <f>F122*$Q$2</f>
        <v>0.17333999999999999</v>
      </c>
      <c r="H122" s="4">
        <v>25.5</v>
      </c>
      <c r="I122" s="10">
        <v>5.44E-4</v>
      </c>
      <c r="J122" s="10">
        <v>5.44E-4</v>
      </c>
      <c r="K122" s="10">
        <v>5.44E-4</v>
      </c>
      <c r="L122">
        <v>0.17333999999999999</v>
      </c>
      <c r="M122">
        <v>0.17333999999999999</v>
      </c>
    </row>
    <row r="123" spans="1:15" x14ac:dyDescent="0.3">
      <c r="A123" t="s">
        <v>32</v>
      </c>
      <c r="B123" t="s">
        <v>22</v>
      </c>
      <c r="C123" t="s">
        <v>39</v>
      </c>
      <c r="D123" t="s">
        <v>34</v>
      </c>
      <c r="E123">
        <v>2020</v>
      </c>
      <c r="F123">
        <v>1.4999999999999999E-2</v>
      </c>
      <c r="G123" s="4">
        <f>F123*$Q$2</f>
        <v>0.14445</v>
      </c>
      <c r="H123" s="4">
        <v>0</v>
      </c>
      <c r="I123" s="10">
        <v>5.44E-4</v>
      </c>
      <c r="J123" s="10">
        <v>5.44E-4</v>
      </c>
      <c r="K123" s="10">
        <v>5.44E-4</v>
      </c>
      <c r="L123">
        <v>0.14445</v>
      </c>
      <c r="M123">
        <v>0.14445</v>
      </c>
    </row>
    <row r="124" spans="1:15" x14ac:dyDescent="0.3">
      <c r="A124" t="s">
        <v>32</v>
      </c>
      <c r="B124" t="s">
        <v>22</v>
      </c>
      <c r="C124" t="s">
        <v>39</v>
      </c>
      <c r="D124" t="s">
        <v>35</v>
      </c>
      <c r="E124">
        <v>2020</v>
      </c>
      <c r="F124">
        <f>F122*1.1</f>
        <v>1.9800000000000002E-2</v>
      </c>
      <c r="G124" s="4">
        <f t="shared" ref="G124:G127" si="8">F124*$Q$2</f>
        <v>0.19067400000000004</v>
      </c>
      <c r="H124" s="4">
        <f>H122*0.7</f>
        <v>17.849999999999998</v>
      </c>
      <c r="I124" s="10">
        <v>5.44E-4</v>
      </c>
      <c r="J124" s="10">
        <v>5.44E-4</v>
      </c>
      <c r="K124" s="10">
        <v>5.44E-4</v>
      </c>
      <c r="L124">
        <v>0.23834250000000001</v>
      </c>
      <c r="M124">
        <v>0.14300550000000001</v>
      </c>
    </row>
    <row r="125" spans="1:15" x14ac:dyDescent="0.3">
      <c r="A125" t="s">
        <v>32</v>
      </c>
      <c r="B125" t="s">
        <v>22</v>
      </c>
      <c r="C125" t="s">
        <v>39</v>
      </c>
      <c r="D125" t="s">
        <v>36</v>
      </c>
      <c r="E125">
        <v>2020</v>
      </c>
      <c r="F125">
        <f>F122*1.2</f>
        <v>2.1599999999999998E-2</v>
      </c>
      <c r="G125" s="4">
        <f t="shared" si="8"/>
        <v>0.208008</v>
      </c>
      <c r="H125" s="4">
        <v>0</v>
      </c>
      <c r="I125" s="10">
        <v>5.44E-4</v>
      </c>
      <c r="J125" s="10">
        <v>5.44E-4</v>
      </c>
      <c r="K125" s="10">
        <v>5.44E-4</v>
      </c>
      <c r="L125">
        <v>0.26001000000000002</v>
      </c>
      <c r="M125">
        <v>0.15600600000000001</v>
      </c>
    </row>
    <row r="126" spans="1:15" x14ac:dyDescent="0.3">
      <c r="A126" t="s">
        <v>32</v>
      </c>
      <c r="B126" t="s">
        <v>22</v>
      </c>
      <c r="C126" t="s">
        <v>39</v>
      </c>
      <c r="D126" t="s">
        <v>11</v>
      </c>
      <c r="E126">
        <v>2020</v>
      </c>
      <c r="F126">
        <f>F122*2</f>
        <v>3.5999999999999997E-2</v>
      </c>
      <c r="G126" s="4">
        <f t="shared" si="8"/>
        <v>0.34667999999999999</v>
      </c>
      <c r="H126" s="4">
        <v>0</v>
      </c>
      <c r="I126" s="10">
        <v>5.44E-4</v>
      </c>
      <c r="J126" s="10">
        <v>5.44E-4</v>
      </c>
      <c r="K126" s="10">
        <v>5.44E-4</v>
      </c>
      <c r="L126">
        <v>0.43335000000000001</v>
      </c>
      <c r="M126">
        <v>0.26001000000000002</v>
      </c>
    </row>
    <row r="127" spans="1:15" x14ac:dyDescent="0.3">
      <c r="A127" t="s">
        <v>32</v>
      </c>
      <c r="B127" t="s">
        <v>22</v>
      </c>
      <c r="C127" t="s">
        <v>39</v>
      </c>
      <c r="D127" t="s">
        <v>12</v>
      </c>
      <c r="E127">
        <v>2020</v>
      </c>
      <c r="F127">
        <f>F122*1.05</f>
        <v>1.89E-2</v>
      </c>
      <c r="G127" s="4">
        <f t="shared" si="8"/>
        <v>0.18200700000000003</v>
      </c>
      <c r="H127" s="4">
        <f>H122*0.2</f>
        <v>5.1000000000000005</v>
      </c>
      <c r="I127" s="10">
        <v>5.44E-4</v>
      </c>
      <c r="J127" s="10">
        <v>5.44E-4</v>
      </c>
      <c r="K127" s="10">
        <v>5.44E-4</v>
      </c>
      <c r="L127">
        <v>0.22750875000000001</v>
      </c>
      <c r="M127">
        <v>0.13650524999999999</v>
      </c>
    </row>
    <row r="128" spans="1:15" x14ac:dyDescent="0.3">
      <c r="A128" t="s">
        <v>6</v>
      </c>
      <c r="B128" t="s">
        <v>7</v>
      </c>
      <c r="C128" t="s">
        <v>8</v>
      </c>
      <c r="D128" t="s">
        <v>9</v>
      </c>
      <c r="E128">
        <v>2025</v>
      </c>
      <c r="F128">
        <f>1.258/18.4</f>
        <v>6.8369565217391307E-2</v>
      </c>
      <c r="G128" s="2">
        <f t="shared" si="1"/>
        <v>0.65839891304347831</v>
      </c>
      <c r="H128" s="2">
        <f>(1274/18.4)*((0.993)^3)</f>
        <v>67.795263098804341</v>
      </c>
      <c r="I128" s="8">
        <v>1.2720000000000001E-3</v>
      </c>
      <c r="J128" s="8">
        <v>1.7719999999999999E-3</v>
      </c>
      <c r="K128" s="8">
        <v>5.44E-4</v>
      </c>
      <c r="L128">
        <v>0.65839891299999997</v>
      </c>
      <c r="M128">
        <v>0.65839891299999997</v>
      </c>
      <c r="N128" t="s">
        <v>63</v>
      </c>
    </row>
    <row r="129" spans="1:14" x14ac:dyDescent="0.3">
      <c r="A129" t="s">
        <v>6</v>
      </c>
      <c r="B129" t="s">
        <v>7</v>
      </c>
      <c r="C129" t="s">
        <v>8</v>
      </c>
      <c r="D129" t="s">
        <v>10</v>
      </c>
      <c r="E129">
        <v>2025</v>
      </c>
      <c r="G129" s="2">
        <f>G128*1.03</f>
        <v>0.67815088043478267</v>
      </c>
      <c r="H129" s="2">
        <f>0*((0.993)^3)</f>
        <v>0</v>
      </c>
      <c r="I129" s="8">
        <v>1.2720000000000001E-3</v>
      </c>
      <c r="J129" s="8">
        <v>1.7719999999999999E-3</v>
      </c>
      <c r="K129" s="8">
        <v>5.44E-4</v>
      </c>
      <c r="L129">
        <v>0.84768860049999994</v>
      </c>
      <c r="M129">
        <v>0.50861316030000003</v>
      </c>
      <c r="N129" t="s">
        <v>56</v>
      </c>
    </row>
    <row r="130" spans="1:14" x14ac:dyDescent="0.3">
      <c r="A130" t="s">
        <v>6</v>
      </c>
      <c r="B130" t="s">
        <v>7</v>
      </c>
      <c r="C130" t="s">
        <v>8</v>
      </c>
      <c r="D130" t="s">
        <v>11</v>
      </c>
      <c r="E130">
        <v>2025</v>
      </c>
      <c r="F130">
        <f>1.7897/18.4</f>
        <v>9.7266304347826099E-2</v>
      </c>
      <c r="G130" s="2">
        <f t="shared" si="1"/>
        <v>0.93667451086956544</v>
      </c>
      <c r="H130" s="2">
        <f>0*((0.993)^3)</f>
        <v>0</v>
      </c>
      <c r="I130" s="8">
        <v>1.2720000000000001E-3</v>
      </c>
      <c r="J130" s="8">
        <v>1.7719999999999999E-3</v>
      </c>
      <c r="K130" s="8">
        <v>5.44E-4</v>
      </c>
      <c r="L130">
        <v>1.170843139</v>
      </c>
      <c r="M130">
        <v>0.70250588319999996</v>
      </c>
    </row>
    <row r="131" spans="1:14" x14ac:dyDescent="0.3">
      <c r="A131" t="s">
        <v>6</v>
      </c>
      <c r="B131" t="s">
        <v>7</v>
      </c>
      <c r="C131" t="s">
        <v>8</v>
      </c>
      <c r="D131" t="s">
        <v>12</v>
      </c>
      <c r="E131">
        <v>2025</v>
      </c>
      <c r="G131" s="2">
        <f>G128*1.11</f>
        <v>0.73082279347826096</v>
      </c>
      <c r="H131" s="2">
        <f>(((127+217)/2)/18.4)*((0.993)^3)</f>
        <v>9.1528926632608698</v>
      </c>
      <c r="I131" s="8">
        <v>1.2720000000000001E-3</v>
      </c>
      <c r="J131" s="8">
        <v>1.7719999999999999E-3</v>
      </c>
      <c r="K131" s="8">
        <v>5.44E-4</v>
      </c>
      <c r="L131">
        <v>0.91352849179999995</v>
      </c>
      <c r="M131">
        <v>0.54811709509999995</v>
      </c>
    </row>
    <row r="132" spans="1:14" x14ac:dyDescent="0.3">
      <c r="A132" t="s">
        <v>6</v>
      </c>
      <c r="B132" t="s">
        <v>7</v>
      </c>
      <c r="C132" t="s">
        <v>8</v>
      </c>
      <c r="D132" t="s">
        <v>13</v>
      </c>
      <c r="E132">
        <v>2025</v>
      </c>
      <c r="G132" s="2">
        <f>G128*1.13</f>
        <v>0.74399077173913042</v>
      </c>
      <c r="H132" s="2">
        <f>(156/18.4)*((0.993)^3)</f>
        <v>8.301460787608697</v>
      </c>
      <c r="I132" s="8">
        <v>1.2720000000000001E-3</v>
      </c>
      <c r="J132" s="8">
        <v>1.7719999999999999E-3</v>
      </c>
      <c r="K132" s="8">
        <v>5.44E-4</v>
      </c>
      <c r="L132">
        <v>0.92998846469999996</v>
      </c>
      <c r="M132">
        <v>0.55799307880000004</v>
      </c>
    </row>
    <row r="133" spans="1:14" x14ac:dyDescent="0.3">
      <c r="A133" t="s">
        <v>6</v>
      </c>
      <c r="B133" t="s">
        <v>14</v>
      </c>
      <c r="C133" t="s">
        <v>15</v>
      </c>
      <c r="D133" t="s">
        <v>9</v>
      </c>
      <c r="E133">
        <v>2025</v>
      </c>
      <c r="F133">
        <f>1.258/33</f>
        <v>3.8121212121212118E-2</v>
      </c>
      <c r="G133" s="2">
        <f t="shared" si="1"/>
        <v>0.36710727272727273</v>
      </c>
      <c r="H133" s="2">
        <f>(1274/33)*((0.993)^3)</f>
        <v>37.800995182363636</v>
      </c>
      <c r="I133" s="8">
        <v>1.2720000000000001E-3</v>
      </c>
      <c r="J133" s="8">
        <v>1.7719999999999999E-3</v>
      </c>
      <c r="K133" s="8">
        <v>5.44E-4</v>
      </c>
      <c r="L133">
        <v>0.36710727269999999</v>
      </c>
      <c r="M133">
        <v>0.36710727269999999</v>
      </c>
    </row>
    <row r="134" spans="1:14" x14ac:dyDescent="0.3">
      <c r="A134" t="s">
        <v>6</v>
      </c>
      <c r="B134" t="s">
        <v>14</v>
      </c>
      <c r="C134" t="s">
        <v>15</v>
      </c>
      <c r="D134" t="s">
        <v>10</v>
      </c>
      <c r="E134">
        <v>2025</v>
      </c>
      <c r="G134" s="2">
        <f>G133*1.03</f>
        <v>0.37812049090909094</v>
      </c>
      <c r="H134" s="2">
        <f>0*((0.993)^3)</f>
        <v>0</v>
      </c>
      <c r="I134" s="8">
        <v>1.2720000000000001E-3</v>
      </c>
      <c r="J134" s="8">
        <v>1.7719999999999999E-3</v>
      </c>
      <c r="K134" s="8">
        <v>5.44E-4</v>
      </c>
      <c r="L134">
        <v>0.47265061359999999</v>
      </c>
      <c r="M134">
        <v>0.2835903682</v>
      </c>
    </row>
    <row r="135" spans="1:14" x14ac:dyDescent="0.3">
      <c r="A135" t="s">
        <v>6</v>
      </c>
      <c r="B135" t="s">
        <v>14</v>
      </c>
      <c r="C135" t="s">
        <v>15</v>
      </c>
      <c r="D135" t="s">
        <v>11</v>
      </c>
      <c r="E135">
        <v>2025</v>
      </c>
      <c r="F135">
        <f>1.7897/33</f>
        <v>5.4233333333333335E-2</v>
      </c>
      <c r="G135" s="2">
        <f t="shared" si="1"/>
        <v>0.52226700000000004</v>
      </c>
      <c r="H135" s="2">
        <f>0*((0.993)^3)</f>
        <v>0</v>
      </c>
      <c r="I135" s="8">
        <v>1.2720000000000001E-3</v>
      </c>
      <c r="J135" s="8">
        <v>1.7719999999999999E-3</v>
      </c>
      <c r="K135" s="8">
        <v>5.44E-4</v>
      </c>
      <c r="L135">
        <v>0.65283374999999999</v>
      </c>
      <c r="M135">
        <v>0.39170025000000003</v>
      </c>
    </row>
    <row r="136" spans="1:14" x14ac:dyDescent="0.3">
      <c r="A136" t="s">
        <v>6</v>
      </c>
      <c r="B136" t="s">
        <v>14</v>
      </c>
      <c r="C136" t="s">
        <v>15</v>
      </c>
      <c r="D136" t="s">
        <v>12</v>
      </c>
      <c r="E136">
        <v>2025</v>
      </c>
      <c r="G136" s="2">
        <f>G133*1.11</f>
        <v>0.40748907272727275</v>
      </c>
      <c r="H136" s="2">
        <f>(((127+217)/2)/33)*((0.993)^3)</f>
        <v>5.1034310607272717</v>
      </c>
      <c r="I136" s="8">
        <v>1.2720000000000001E-3</v>
      </c>
      <c r="J136" s="8">
        <v>1.7719999999999999E-3</v>
      </c>
      <c r="K136" s="8">
        <v>5.44E-4</v>
      </c>
      <c r="L136">
        <v>0.50936134089999996</v>
      </c>
      <c r="M136">
        <v>0.30561680450000001</v>
      </c>
    </row>
    <row r="137" spans="1:14" x14ac:dyDescent="0.3">
      <c r="A137" t="s">
        <v>6</v>
      </c>
      <c r="B137" t="s">
        <v>14</v>
      </c>
      <c r="C137" t="s">
        <v>15</v>
      </c>
      <c r="D137" t="s">
        <v>13</v>
      </c>
      <c r="E137">
        <v>2025</v>
      </c>
      <c r="G137" s="2">
        <f>G133*1.13</f>
        <v>0.41483121818181812</v>
      </c>
      <c r="H137" s="2">
        <f>(156/33)*((0.993)^3)</f>
        <v>4.6286932876363638</v>
      </c>
      <c r="I137" s="8">
        <v>1.2720000000000001E-3</v>
      </c>
      <c r="J137" s="8">
        <v>1.7719999999999999E-3</v>
      </c>
      <c r="K137" s="8">
        <v>5.44E-4</v>
      </c>
      <c r="L137">
        <v>0.51853902269999996</v>
      </c>
      <c r="M137">
        <v>0.31112341360000001</v>
      </c>
    </row>
    <row r="138" spans="1:14" x14ac:dyDescent="0.3">
      <c r="A138" t="s">
        <v>6</v>
      </c>
      <c r="B138" t="s">
        <v>16</v>
      </c>
      <c r="C138" t="s">
        <v>17</v>
      </c>
      <c r="D138" t="s">
        <v>9</v>
      </c>
      <c r="E138">
        <v>2025</v>
      </c>
      <c r="F138">
        <f>1.258/33</f>
        <v>3.8121212121212118E-2</v>
      </c>
      <c r="G138" s="2">
        <f t="shared" ref="G138:G205" si="9">F138*$Q$2</f>
        <v>0.36710727272727273</v>
      </c>
      <c r="H138" s="2">
        <f>(1274/33)*((0.993)^3)</f>
        <v>37.800995182363636</v>
      </c>
      <c r="I138" s="8">
        <v>1.2720000000000001E-3</v>
      </c>
      <c r="J138" s="8">
        <v>1.7719999999999999E-3</v>
      </c>
      <c r="K138" s="8">
        <v>5.44E-4</v>
      </c>
      <c r="L138">
        <v>0.36710727269999999</v>
      </c>
      <c r="M138">
        <v>0.36710727269999999</v>
      </c>
    </row>
    <row r="139" spans="1:14" x14ac:dyDescent="0.3">
      <c r="A139" t="s">
        <v>6</v>
      </c>
      <c r="B139" t="s">
        <v>16</v>
      </c>
      <c r="C139" t="s">
        <v>17</v>
      </c>
      <c r="D139" t="s">
        <v>10</v>
      </c>
      <c r="E139">
        <v>2025</v>
      </c>
      <c r="G139" s="2">
        <f>G138*1.03</f>
        <v>0.37812049090909094</v>
      </c>
      <c r="H139" s="2">
        <f>0*((0.993)^3)</f>
        <v>0</v>
      </c>
      <c r="I139" s="8">
        <v>1.2720000000000001E-3</v>
      </c>
      <c r="J139" s="8">
        <v>1.7719999999999999E-3</v>
      </c>
      <c r="K139" s="8">
        <v>5.44E-4</v>
      </c>
      <c r="L139">
        <v>0.47265061359999999</v>
      </c>
      <c r="M139">
        <v>0.2835903682</v>
      </c>
    </row>
    <row r="140" spans="1:14" x14ac:dyDescent="0.3">
      <c r="A140" t="s">
        <v>6</v>
      </c>
      <c r="B140" t="s">
        <v>16</v>
      </c>
      <c r="C140" t="s">
        <v>17</v>
      </c>
      <c r="D140" t="s">
        <v>11</v>
      </c>
      <c r="E140">
        <v>2025</v>
      </c>
      <c r="F140">
        <f>1.7897/33</f>
        <v>5.4233333333333335E-2</v>
      </c>
      <c r="G140" s="2">
        <f t="shared" si="9"/>
        <v>0.52226700000000004</v>
      </c>
      <c r="H140" s="2">
        <f>0*((0.993)^3)</f>
        <v>0</v>
      </c>
      <c r="I140" s="8">
        <v>1.2720000000000001E-3</v>
      </c>
      <c r="J140" s="8">
        <v>1.7719999999999999E-3</v>
      </c>
      <c r="K140" s="8">
        <v>5.44E-4</v>
      </c>
      <c r="L140">
        <v>0.65283374999999999</v>
      </c>
      <c r="M140">
        <v>0.39170025000000003</v>
      </c>
    </row>
    <row r="141" spans="1:14" x14ac:dyDescent="0.3">
      <c r="A141" t="s">
        <v>6</v>
      </c>
      <c r="B141" t="s">
        <v>16</v>
      </c>
      <c r="C141" t="s">
        <v>17</v>
      </c>
      <c r="D141" t="s">
        <v>12</v>
      </c>
      <c r="E141">
        <v>2025</v>
      </c>
      <c r="G141" s="2">
        <f>G138*1.11</f>
        <v>0.40748907272727275</v>
      </c>
      <c r="H141" s="2">
        <f>(((127+217)/2)/33)*((0.993)^3)</f>
        <v>5.1034310607272717</v>
      </c>
      <c r="I141" s="8">
        <v>1.2720000000000001E-3</v>
      </c>
      <c r="J141" s="8">
        <v>1.7719999999999999E-3</v>
      </c>
      <c r="K141" s="8">
        <v>5.44E-4</v>
      </c>
      <c r="L141">
        <v>0.50936134089999996</v>
      </c>
      <c r="M141">
        <v>0.30561680450000001</v>
      </c>
    </row>
    <row r="142" spans="1:14" x14ac:dyDescent="0.3">
      <c r="A142" t="s">
        <v>6</v>
      </c>
      <c r="B142" t="s">
        <v>16</v>
      </c>
      <c r="C142" t="s">
        <v>17</v>
      </c>
      <c r="D142" t="s">
        <v>13</v>
      </c>
      <c r="E142">
        <v>2025</v>
      </c>
      <c r="G142" s="2">
        <f>G138*1.13</f>
        <v>0.41483121818181812</v>
      </c>
      <c r="H142" s="2">
        <f>(156/33)*((0.993)^3)</f>
        <v>4.6286932876363638</v>
      </c>
      <c r="I142" s="8">
        <v>1.2720000000000001E-3</v>
      </c>
      <c r="J142" s="8">
        <v>1.7719999999999999E-3</v>
      </c>
      <c r="K142" s="8">
        <v>5.44E-4</v>
      </c>
      <c r="L142">
        <v>0.51853902269999996</v>
      </c>
      <c r="M142">
        <v>0.31112341360000001</v>
      </c>
    </row>
    <row r="143" spans="1:14" x14ac:dyDescent="0.3">
      <c r="A143" t="s">
        <v>6</v>
      </c>
      <c r="B143" t="s">
        <v>65</v>
      </c>
      <c r="C143" t="s">
        <v>17</v>
      </c>
      <c r="D143" t="s">
        <v>9</v>
      </c>
      <c r="E143">
        <v>2025</v>
      </c>
      <c r="F143">
        <f>1.258/33</f>
        <v>3.8121212121212118E-2</v>
      </c>
      <c r="G143" s="2">
        <f t="shared" si="9"/>
        <v>0.36710727272727273</v>
      </c>
      <c r="H143" s="2">
        <f>(1274/33)*((0.993)^3)</f>
        <v>37.800995182363636</v>
      </c>
      <c r="I143" s="8">
        <v>1.2720000000000001E-3</v>
      </c>
      <c r="J143" s="8">
        <v>1.7719999999999999E-3</v>
      </c>
      <c r="K143" s="8">
        <v>5.44E-4</v>
      </c>
      <c r="L143">
        <v>0.36710727269999999</v>
      </c>
      <c r="M143">
        <v>0.36710727269999999</v>
      </c>
    </row>
    <row r="144" spans="1:14" x14ac:dyDescent="0.3">
      <c r="A144" t="s">
        <v>6</v>
      </c>
      <c r="B144" t="s">
        <v>65</v>
      </c>
      <c r="C144" t="s">
        <v>17</v>
      </c>
      <c r="D144" t="s">
        <v>10</v>
      </c>
      <c r="E144">
        <v>2025</v>
      </c>
      <c r="G144" s="2">
        <f>G143*1.03</f>
        <v>0.37812049090909094</v>
      </c>
      <c r="H144" s="2">
        <f>0*((0.993)^3)</f>
        <v>0</v>
      </c>
      <c r="I144" s="8">
        <v>1.2720000000000001E-3</v>
      </c>
      <c r="J144" s="8">
        <v>1.7719999999999999E-3</v>
      </c>
      <c r="K144" s="8">
        <v>5.44E-4</v>
      </c>
      <c r="L144">
        <v>0.47265061359999999</v>
      </c>
      <c r="M144">
        <v>0.2835903682</v>
      </c>
    </row>
    <row r="145" spans="1:13" x14ac:dyDescent="0.3">
      <c r="A145" t="s">
        <v>6</v>
      </c>
      <c r="B145" t="s">
        <v>65</v>
      </c>
      <c r="C145" t="s">
        <v>17</v>
      </c>
      <c r="D145" t="s">
        <v>11</v>
      </c>
      <c r="E145">
        <v>2025</v>
      </c>
      <c r="F145">
        <f>1.7897/33</f>
        <v>5.4233333333333335E-2</v>
      </c>
      <c r="G145" s="2">
        <f t="shared" si="9"/>
        <v>0.52226700000000004</v>
      </c>
      <c r="H145" s="2">
        <f>0*((0.993)^3)</f>
        <v>0</v>
      </c>
      <c r="I145" s="8">
        <v>1.2720000000000001E-3</v>
      </c>
      <c r="J145" s="8">
        <v>1.7719999999999999E-3</v>
      </c>
      <c r="K145" s="8">
        <v>5.44E-4</v>
      </c>
      <c r="L145">
        <v>0.65283374999999999</v>
      </c>
      <c r="M145">
        <v>0.39170025000000003</v>
      </c>
    </row>
    <row r="146" spans="1:13" x14ac:dyDescent="0.3">
      <c r="A146" t="s">
        <v>6</v>
      </c>
      <c r="B146" t="s">
        <v>65</v>
      </c>
      <c r="C146" t="s">
        <v>17</v>
      </c>
      <c r="D146" t="s">
        <v>12</v>
      </c>
      <c r="E146">
        <v>2025</v>
      </c>
      <c r="G146" s="2">
        <f>G143*1.11</f>
        <v>0.40748907272727275</v>
      </c>
      <c r="H146" s="2">
        <f>(((127+217)/2)/33)*((0.993)^3)</f>
        <v>5.1034310607272717</v>
      </c>
      <c r="I146" s="8">
        <v>1.2720000000000001E-3</v>
      </c>
      <c r="J146" s="8">
        <v>1.7719999999999999E-3</v>
      </c>
      <c r="K146" s="8">
        <v>5.44E-4</v>
      </c>
      <c r="L146">
        <v>0.50936134089999996</v>
      </c>
      <c r="M146">
        <v>0.30561680450000001</v>
      </c>
    </row>
    <row r="147" spans="1:13" x14ac:dyDescent="0.3">
      <c r="A147" t="s">
        <v>6</v>
      </c>
      <c r="B147" t="s">
        <v>65</v>
      </c>
      <c r="C147" t="s">
        <v>17</v>
      </c>
      <c r="D147" t="s">
        <v>13</v>
      </c>
      <c r="E147">
        <v>2025</v>
      </c>
      <c r="G147" s="2">
        <f>G143*1.13</f>
        <v>0.41483121818181812</v>
      </c>
      <c r="H147" s="2">
        <f>(156/33)*((0.993)^3)</f>
        <v>4.6286932876363638</v>
      </c>
      <c r="I147" s="8">
        <v>1.2720000000000001E-3</v>
      </c>
      <c r="J147" s="8">
        <v>1.7719999999999999E-3</v>
      </c>
      <c r="K147" s="8">
        <v>5.44E-4</v>
      </c>
      <c r="L147">
        <v>0.51853902269999996</v>
      </c>
      <c r="M147">
        <v>0.31112341360000001</v>
      </c>
    </row>
    <row r="148" spans="1:13" x14ac:dyDescent="0.3">
      <c r="A148" t="s">
        <v>6</v>
      </c>
      <c r="B148" t="s">
        <v>18</v>
      </c>
      <c r="C148" t="s">
        <v>19</v>
      </c>
      <c r="D148" t="s">
        <v>9</v>
      </c>
      <c r="E148">
        <v>2025</v>
      </c>
      <c r="F148">
        <f>1.258/33</f>
        <v>3.8121212121212118E-2</v>
      </c>
      <c r="G148" s="2">
        <f t="shared" si="9"/>
        <v>0.36710727272727273</v>
      </c>
      <c r="H148" s="2">
        <f>(1274/33)*((0.993)^3)</f>
        <v>37.800995182363636</v>
      </c>
      <c r="I148" s="8">
        <v>1.2720000000000001E-3</v>
      </c>
      <c r="J148" s="8">
        <v>1.7719999999999999E-3</v>
      </c>
      <c r="K148" s="8">
        <v>5.44E-4</v>
      </c>
      <c r="L148">
        <v>0.36710727269999999</v>
      </c>
      <c r="M148">
        <v>0.36710727269999999</v>
      </c>
    </row>
    <row r="149" spans="1:13" x14ac:dyDescent="0.3">
      <c r="A149" t="s">
        <v>6</v>
      </c>
      <c r="B149" t="s">
        <v>18</v>
      </c>
      <c r="C149" t="s">
        <v>19</v>
      </c>
      <c r="D149" t="s">
        <v>10</v>
      </c>
      <c r="E149">
        <v>2025</v>
      </c>
      <c r="G149" s="2">
        <f>G148*1.03</f>
        <v>0.37812049090909094</v>
      </c>
      <c r="H149" s="2">
        <f>0*((0.993)^3)</f>
        <v>0</v>
      </c>
      <c r="I149" s="8">
        <v>1.2720000000000001E-3</v>
      </c>
      <c r="J149" s="8">
        <v>1.7719999999999999E-3</v>
      </c>
      <c r="K149" s="8">
        <v>5.44E-4</v>
      </c>
      <c r="L149">
        <v>0.47265061359999999</v>
      </c>
      <c r="M149">
        <v>0.2835903682</v>
      </c>
    </row>
    <row r="150" spans="1:13" x14ac:dyDescent="0.3">
      <c r="A150" t="s">
        <v>6</v>
      </c>
      <c r="B150" t="s">
        <v>18</v>
      </c>
      <c r="C150" t="s">
        <v>19</v>
      </c>
      <c r="D150" t="s">
        <v>11</v>
      </c>
      <c r="E150">
        <v>2025</v>
      </c>
      <c r="F150">
        <f>1.7897/33</f>
        <v>5.4233333333333335E-2</v>
      </c>
      <c r="G150" s="2">
        <f t="shared" si="9"/>
        <v>0.52226700000000004</v>
      </c>
      <c r="H150" s="2">
        <f>0*((0.993)^3)</f>
        <v>0</v>
      </c>
      <c r="I150" s="8">
        <v>1.2720000000000001E-3</v>
      </c>
      <c r="J150" s="8">
        <v>1.7719999999999999E-3</v>
      </c>
      <c r="K150" s="8">
        <v>5.44E-4</v>
      </c>
      <c r="L150">
        <v>0.65283374999999999</v>
      </c>
      <c r="M150">
        <v>0.39170025000000003</v>
      </c>
    </row>
    <row r="151" spans="1:13" x14ac:dyDescent="0.3">
      <c r="A151" t="s">
        <v>6</v>
      </c>
      <c r="B151" t="s">
        <v>18</v>
      </c>
      <c r="C151" t="s">
        <v>19</v>
      </c>
      <c r="D151" t="s">
        <v>12</v>
      </c>
      <c r="E151">
        <v>2025</v>
      </c>
      <c r="G151" s="2">
        <f>G148*1.11</f>
        <v>0.40748907272727275</v>
      </c>
      <c r="H151" s="2">
        <f>(((127+217)/2)/33)*((0.993)^3)</f>
        <v>5.1034310607272717</v>
      </c>
      <c r="I151" s="8">
        <v>1.2720000000000001E-3</v>
      </c>
      <c r="J151" s="8">
        <v>1.7719999999999999E-3</v>
      </c>
      <c r="K151" s="8">
        <v>5.44E-4</v>
      </c>
      <c r="L151">
        <v>0.50936134089999996</v>
      </c>
      <c r="M151">
        <v>0.30561680450000001</v>
      </c>
    </row>
    <row r="152" spans="1:13" x14ac:dyDescent="0.3">
      <c r="A152" t="s">
        <v>6</v>
      </c>
      <c r="B152" t="s">
        <v>18</v>
      </c>
      <c r="C152" t="s">
        <v>19</v>
      </c>
      <c r="D152" t="s">
        <v>13</v>
      </c>
      <c r="E152">
        <v>2025</v>
      </c>
      <c r="G152" s="2">
        <f>G148*1.13</f>
        <v>0.41483121818181812</v>
      </c>
      <c r="H152" s="2">
        <f>(156/33)*((0.993)^3)</f>
        <v>4.6286932876363638</v>
      </c>
      <c r="I152" s="8">
        <v>1.2720000000000001E-3</v>
      </c>
      <c r="J152" s="8">
        <v>1.7719999999999999E-3</v>
      </c>
      <c r="K152" s="8">
        <v>5.44E-4</v>
      </c>
      <c r="L152">
        <v>0.51853902269999996</v>
      </c>
      <c r="M152">
        <v>0.31112341360000001</v>
      </c>
    </row>
    <row r="153" spans="1:13" x14ac:dyDescent="0.3">
      <c r="A153" t="s">
        <v>6</v>
      </c>
      <c r="B153" t="s">
        <v>20</v>
      </c>
      <c r="C153" t="s">
        <v>21</v>
      </c>
      <c r="D153" t="s">
        <v>9</v>
      </c>
      <c r="E153">
        <v>2025</v>
      </c>
      <c r="F153">
        <f>1.258/34</f>
        <v>3.6999999999999998E-2</v>
      </c>
      <c r="G153" s="2">
        <f t="shared" si="9"/>
        <v>0.35631000000000002</v>
      </c>
      <c r="H153" s="2">
        <f>(1274/34)*((0.993)^3)</f>
        <v>36.689201206411759</v>
      </c>
      <c r="I153" s="8">
        <v>1.2720000000000001E-3</v>
      </c>
      <c r="J153" s="8">
        <v>1.7719999999999999E-3</v>
      </c>
      <c r="K153" s="8">
        <v>5.44E-4</v>
      </c>
      <c r="L153">
        <v>0.35631000000000002</v>
      </c>
      <c r="M153">
        <v>0.35631000000000002</v>
      </c>
    </row>
    <row r="154" spans="1:13" x14ac:dyDescent="0.3">
      <c r="A154" t="s">
        <v>6</v>
      </c>
      <c r="B154" t="s">
        <v>20</v>
      </c>
      <c r="C154" t="s">
        <v>21</v>
      </c>
      <c r="D154" t="s">
        <v>10</v>
      </c>
      <c r="E154">
        <v>2025</v>
      </c>
      <c r="G154" s="2">
        <f>G153*1.03</f>
        <v>0.36699930000000003</v>
      </c>
      <c r="H154" s="2">
        <f>0*((0.993)^3)</f>
        <v>0</v>
      </c>
      <c r="I154" s="8">
        <v>1.2720000000000001E-3</v>
      </c>
      <c r="J154" s="8">
        <v>1.7719999999999999E-3</v>
      </c>
      <c r="K154" s="8">
        <v>5.44E-4</v>
      </c>
      <c r="L154">
        <v>0.45874912499999998</v>
      </c>
      <c r="M154">
        <v>0.27524947500000002</v>
      </c>
    </row>
    <row r="155" spans="1:13" x14ac:dyDescent="0.3">
      <c r="A155" t="s">
        <v>6</v>
      </c>
      <c r="B155" t="s">
        <v>20</v>
      </c>
      <c r="C155" t="s">
        <v>21</v>
      </c>
      <c r="D155" t="s">
        <v>11</v>
      </c>
      <c r="E155">
        <v>2025</v>
      </c>
      <c r="F155">
        <f>1.7897/34</f>
        <v>5.2638235294117652E-2</v>
      </c>
      <c r="G155" s="2">
        <f t="shared" si="9"/>
        <v>0.50690620588235302</v>
      </c>
      <c r="H155" s="2">
        <f>0*((0.993)^3)</f>
        <v>0</v>
      </c>
      <c r="I155" s="8">
        <v>1.2720000000000001E-3</v>
      </c>
      <c r="J155" s="8">
        <v>1.7719999999999999E-3</v>
      </c>
      <c r="K155" s="8">
        <v>5.44E-4</v>
      </c>
      <c r="L155">
        <v>0.63363275740000002</v>
      </c>
      <c r="M155">
        <v>0.38017965440000001</v>
      </c>
    </row>
    <row r="156" spans="1:13" x14ac:dyDescent="0.3">
      <c r="A156" t="s">
        <v>6</v>
      </c>
      <c r="B156" t="s">
        <v>20</v>
      </c>
      <c r="C156" t="s">
        <v>21</v>
      </c>
      <c r="D156" t="s">
        <v>12</v>
      </c>
      <c r="E156">
        <v>2025</v>
      </c>
      <c r="G156" s="2">
        <f>G153*1.11</f>
        <v>0.39550410000000003</v>
      </c>
      <c r="H156" s="2">
        <f>(((127+217)/2)/34)*((0.993)^3)</f>
        <v>4.9533301471764704</v>
      </c>
      <c r="I156" s="8">
        <v>1.2720000000000001E-3</v>
      </c>
      <c r="J156" s="8">
        <v>1.7719999999999999E-3</v>
      </c>
      <c r="K156" s="8">
        <v>5.44E-4</v>
      </c>
      <c r="L156">
        <v>0.494380125</v>
      </c>
      <c r="M156">
        <v>0.29662807499999999</v>
      </c>
    </row>
    <row r="157" spans="1:13" x14ac:dyDescent="0.3">
      <c r="A157" t="s">
        <v>6</v>
      </c>
      <c r="B157" t="s">
        <v>20</v>
      </c>
      <c r="C157" t="s">
        <v>21</v>
      </c>
      <c r="D157" t="s">
        <v>13</v>
      </c>
      <c r="E157">
        <v>2025</v>
      </c>
      <c r="G157" s="2">
        <f>G153*1.13</f>
        <v>0.4026303</v>
      </c>
      <c r="H157" s="2">
        <f>(156/34)*((0.993)^3)</f>
        <v>4.4925552497647052</v>
      </c>
      <c r="I157" s="8">
        <v>1.2720000000000001E-3</v>
      </c>
      <c r="J157" s="8">
        <v>1.7719999999999999E-3</v>
      </c>
      <c r="K157" s="8">
        <v>5.44E-4</v>
      </c>
      <c r="L157">
        <v>0.50328787500000005</v>
      </c>
      <c r="M157">
        <v>0.301972725</v>
      </c>
    </row>
    <row r="158" spans="1:13" x14ac:dyDescent="0.3">
      <c r="A158" t="s">
        <v>6</v>
      </c>
      <c r="B158" t="s">
        <v>22</v>
      </c>
      <c r="C158" t="s">
        <v>23</v>
      </c>
      <c r="D158" t="s">
        <v>9</v>
      </c>
      <c r="E158">
        <v>2025</v>
      </c>
      <c r="F158">
        <f>1.258/33</f>
        <v>3.8121212121212118E-2</v>
      </c>
      <c r="G158" s="2">
        <f t="shared" si="9"/>
        <v>0.36710727272727273</v>
      </c>
      <c r="H158" s="2">
        <f>(1274/33)*((0.993)^3)</f>
        <v>37.800995182363636</v>
      </c>
      <c r="I158" s="8">
        <v>1.2720000000000001E-3</v>
      </c>
      <c r="J158" s="8">
        <v>1.7719999999999999E-3</v>
      </c>
      <c r="K158" s="8">
        <v>5.44E-4</v>
      </c>
      <c r="L158">
        <v>0.36710727269999999</v>
      </c>
      <c r="M158">
        <v>0.36710727269999999</v>
      </c>
    </row>
    <row r="159" spans="1:13" x14ac:dyDescent="0.3">
      <c r="A159" t="s">
        <v>6</v>
      </c>
      <c r="B159" t="s">
        <v>22</v>
      </c>
      <c r="C159" t="s">
        <v>23</v>
      </c>
      <c r="D159" t="s">
        <v>10</v>
      </c>
      <c r="E159">
        <v>2025</v>
      </c>
      <c r="G159" s="2">
        <f>G158*1.03</f>
        <v>0.37812049090909094</v>
      </c>
      <c r="H159" s="2">
        <f>0*((0.993)^3)</f>
        <v>0</v>
      </c>
      <c r="I159" s="8">
        <v>1.2720000000000001E-3</v>
      </c>
      <c r="J159" s="8">
        <v>1.7719999999999999E-3</v>
      </c>
      <c r="K159" s="8">
        <v>5.44E-4</v>
      </c>
      <c r="L159">
        <v>0.47265061359999999</v>
      </c>
      <c r="M159">
        <v>0.2835903682</v>
      </c>
    </row>
    <row r="160" spans="1:13" x14ac:dyDescent="0.3">
      <c r="A160" t="s">
        <v>6</v>
      </c>
      <c r="B160" t="s">
        <v>22</v>
      </c>
      <c r="C160" t="s">
        <v>23</v>
      </c>
      <c r="D160" t="s">
        <v>11</v>
      </c>
      <c r="E160">
        <v>2025</v>
      </c>
      <c r="F160">
        <f>1.7897/33</f>
        <v>5.4233333333333335E-2</v>
      </c>
      <c r="G160" s="2">
        <f t="shared" si="9"/>
        <v>0.52226700000000004</v>
      </c>
      <c r="H160" s="2">
        <f>0*((0.993)^3)</f>
        <v>0</v>
      </c>
      <c r="I160" s="8">
        <v>1.2720000000000001E-3</v>
      </c>
      <c r="J160" s="8">
        <v>1.7719999999999999E-3</v>
      </c>
      <c r="K160" s="8">
        <v>5.44E-4</v>
      </c>
      <c r="L160">
        <v>0.65283374999999999</v>
      </c>
      <c r="M160">
        <v>0.39170025000000003</v>
      </c>
    </row>
    <row r="161" spans="1:15" x14ac:dyDescent="0.3">
      <c r="A161" t="s">
        <v>6</v>
      </c>
      <c r="B161" t="s">
        <v>22</v>
      </c>
      <c r="C161" t="s">
        <v>23</v>
      </c>
      <c r="D161" t="s">
        <v>12</v>
      </c>
      <c r="E161">
        <v>2025</v>
      </c>
      <c r="G161" s="2">
        <f>G158*1.11</f>
        <v>0.40748907272727275</v>
      </c>
      <c r="H161" s="2">
        <f>(((127+217)/2)/33)*((0.993)^3)</f>
        <v>5.1034310607272717</v>
      </c>
      <c r="I161" s="8">
        <v>1.2720000000000001E-3</v>
      </c>
      <c r="J161" s="8">
        <v>1.7719999999999999E-3</v>
      </c>
      <c r="K161" s="8">
        <v>5.44E-4</v>
      </c>
      <c r="L161">
        <v>0.50936134089999996</v>
      </c>
      <c r="M161">
        <v>0.30561680450000001</v>
      </c>
    </row>
    <row r="162" spans="1:15" x14ac:dyDescent="0.3">
      <c r="A162" t="s">
        <v>6</v>
      </c>
      <c r="B162" t="s">
        <v>22</v>
      </c>
      <c r="C162" t="s">
        <v>23</v>
      </c>
      <c r="D162" t="s">
        <v>13</v>
      </c>
      <c r="E162">
        <v>2025</v>
      </c>
      <c r="G162" s="2">
        <f>G158*1.13</f>
        <v>0.41483121818181812</v>
      </c>
      <c r="H162" s="2">
        <f>(156/33)*((0.993)^3)</f>
        <v>4.6286932876363638</v>
      </c>
      <c r="I162" s="8">
        <v>1.2720000000000001E-3</v>
      </c>
      <c r="J162" s="8">
        <v>1.7719999999999999E-3</v>
      </c>
      <c r="K162" s="8">
        <v>5.44E-4</v>
      </c>
      <c r="L162">
        <v>0.51853902269999996</v>
      </c>
      <c r="M162">
        <v>0.31112341360000001</v>
      </c>
    </row>
    <row r="163" spans="1:15" x14ac:dyDescent="0.3">
      <c r="A163" t="s">
        <v>40</v>
      </c>
      <c r="B163" t="s">
        <v>7</v>
      </c>
      <c r="C163" t="s">
        <v>24</v>
      </c>
      <c r="D163" t="s">
        <v>44</v>
      </c>
      <c r="E163">
        <v>2025</v>
      </c>
      <c r="F163">
        <f>69.951/9000</f>
        <v>7.7723333333333325E-3</v>
      </c>
      <c r="G163" s="3">
        <f>F163*$Q$2</f>
        <v>7.4847570000000002E-2</v>
      </c>
      <c r="H163" s="3">
        <f>13*((0.993)^3)</f>
        <v>12.728906540999999</v>
      </c>
      <c r="I163" s="9">
        <v>1.2720000000000001E-3</v>
      </c>
      <c r="J163" s="9">
        <v>1.7719999999999999E-3</v>
      </c>
      <c r="K163" s="9">
        <v>5.44E-4</v>
      </c>
      <c r="L163">
        <v>7.4847570000000002E-2</v>
      </c>
      <c r="M163">
        <v>7.4847570000000002E-2</v>
      </c>
    </row>
    <row r="164" spans="1:15" x14ac:dyDescent="0.3">
      <c r="A164" t="s">
        <v>40</v>
      </c>
      <c r="B164" t="s">
        <v>7</v>
      </c>
      <c r="C164" t="s">
        <v>24</v>
      </c>
      <c r="D164" t="s">
        <v>25</v>
      </c>
      <c r="E164">
        <v>2025</v>
      </c>
      <c r="G164" s="3">
        <f>G163*1.1</f>
        <v>8.2332327000000011E-2</v>
      </c>
      <c r="H164" s="3">
        <f>(0.93*H163)*((0.993)^3)</f>
        <v>11.591023646803592</v>
      </c>
      <c r="I164" s="9">
        <v>1.2720000000000001E-3</v>
      </c>
      <c r="J164" s="9">
        <v>1.7719999999999999E-3</v>
      </c>
      <c r="K164" s="9">
        <v>5.44E-4</v>
      </c>
      <c r="L164">
        <v>8.2332326999999997E-2</v>
      </c>
      <c r="M164">
        <v>8.2332326999999997E-2</v>
      </c>
    </row>
    <row r="165" spans="1:15" x14ac:dyDescent="0.3">
      <c r="A165" t="s">
        <v>40</v>
      </c>
      <c r="B165" t="s">
        <v>7</v>
      </c>
      <c r="C165" t="s">
        <v>24</v>
      </c>
      <c r="D165" t="s">
        <v>26</v>
      </c>
      <c r="E165">
        <v>2025</v>
      </c>
      <c r="G165" s="3">
        <f>G164*1.07</f>
        <v>8.809558989000002E-2</v>
      </c>
      <c r="H165" s="3">
        <f>(H163*0.7)*((0.993)^3)</f>
        <v>8.7244264008199064</v>
      </c>
      <c r="I165" s="9">
        <v>1.2720000000000001E-3</v>
      </c>
      <c r="J165" s="9">
        <v>1.7719999999999999E-3</v>
      </c>
      <c r="K165" s="9">
        <v>5.44E-4</v>
      </c>
      <c r="L165">
        <v>8.8095589890000006E-2</v>
      </c>
      <c r="M165">
        <v>8.8095589890000006E-2</v>
      </c>
      <c r="N165">
        <f>(167.048/9000)*$Q$2</f>
        <v>0.17874136000000004</v>
      </c>
    </row>
    <row r="166" spans="1:15" x14ac:dyDescent="0.3">
      <c r="A166" t="s">
        <v>40</v>
      </c>
      <c r="B166" t="s">
        <v>7</v>
      </c>
      <c r="C166" t="s">
        <v>24</v>
      </c>
      <c r="D166" t="s">
        <v>11</v>
      </c>
      <c r="E166">
        <v>2025</v>
      </c>
      <c r="G166" s="3">
        <v>9999</v>
      </c>
      <c r="H166" s="3">
        <f>0*((0.993)^3)</f>
        <v>0</v>
      </c>
      <c r="I166" s="9">
        <v>1.2720000000000001E-3</v>
      </c>
      <c r="J166" s="9">
        <v>1.7719999999999999E-3</v>
      </c>
      <c r="K166" s="9">
        <v>5.44E-4</v>
      </c>
      <c r="L166">
        <v>12498.75</v>
      </c>
      <c r="M166">
        <v>7499.25</v>
      </c>
      <c r="N166">
        <f>(160.061/9000)*$Q$2</f>
        <v>0.17126527000000002</v>
      </c>
      <c r="O166" t="s">
        <v>46</v>
      </c>
    </row>
    <row r="167" spans="1:15" x14ac:dyDescent="0.3">
      <c r="A167" t="s">
        <v>40</v>
      </c>
      <c r="B167" t="s">
        <v>7</v>
      </c>
      <c r="C167" t="s">
        <v>24</v>
      </c>
      <c r="D167" t="s">
        <v>27</v>
      </c>
      <c r="E167">
        <v>2025</v>
      </c>
      <c r="G167" s="3">
        <v>9999</v>
      </c>
      <c r="H167" s="3">
        <f>0*((0.993)^3)</f>
        <v>0</v>
      </c>
      <c r="I167" s="9">
        <v>1.2720000000000001E-3</v>
      </c>
      <c r="J167" s="9">
        <v>1.7719999999999999E-3</v>
      </c>
      <c r="K167" s="9">
        <v>5.44E-4</v>
      </c>
      <c r="L167">
        <v>12498.75</v>
      </c>
      <c r="M167">
        <v>7499.25</v>
      </c>
    </row>
    <row r="168" spans="1:15" x14ac:dyDescent="0.3">
      <c r="A168" t="s">
        <v>40</v>
      </c>
      <c r="B168" t="s">
        <v>7</v>
      </c>
      <c r="C168" t="s">
        <v>24</v>
      </c>
      <c r="D168" t="s">
        <v>28</v>
      </c>
      <c r="E168">
        <v>2025</v>
      </c>
      <c r="G168" s="3">
        <f>G164*1.22</f>
        <v>0.10044543894000001</v>
      </c>
      <c r="H168" s="3">
        <f>(0.9*H163)*((0.993)^3)</f>
        <v>11.217119658197024</v>
      </c>
      <c r="I168" s="9">
        <v>1.2720000000000001E-3</v>
      </c>
      <c r="J168" s="9">
        <v>1.7719999999999999E-3</v>
      </c>
      <c r="K168" s="9">
        <v>5.44E-4</v>
      </c>
      <c r="L168">
        <v>0.1255567987</v>
      </c>
      <c r="M168">
        <v>7.5334079210000002E-2</v>
      </c>
    </row>
    <row r="169" spans="1:15" x14ac:dyDescent="0.3">
      <c r="A169" t="s">
        <v>40</v>
      </c>
      <c r="B169" t="s">
        <v>7</v>
      </c>
      <c r="C169" t="s">
        <v>24</v>
      </c>
      <c r="D169" t="s">
        <v>13</v>
      </c>
      <c r="E169">
        <v>2025</v>
      </c>
      <c r="G169" s="3">
        <f>G168*1.05</f>
        <v>0.10546771088700001</v>
      </c>
      <c r="H169" s="3">
        <f>(H163*0.24)*((0.993)^3)</f>
        <v>2.9912319088525394</v>
      </c>
      <c r="I169" s="9">
        <v>1.2720000000000001E-3</v>
      </c>
      <c r="J169" s="9">
        <v>1.7719999999999999E-3</v>
      </c>
      <c r="K169" s="9">
        <v>5.44E-4</v>
      </c>
      <c r="L169">
        <v>0.1318346386</v>
      </c>
      <c r="M169">
        <v>7.9100783169999994E-2</v>
      </c>
    </row>
    <row r="170" spans="1:15" x14ac:dyDescent="0.3">
      <c r="A170" t="s">
        <v>40</v>
      </c>
      <c r="B170" t="s">
        <v>14</v>
      </c>
      <c r="C170" t="s">
        <v>29</v>
      </c>
      <c r="D170" t="s">
        <v>44</v>
      </c>
      <c r="E170">
        <v>2025</v>
      </c>
      <c r="F170">
        <f>69.951/8500</f>
        <v>8.229529411764705E-3</v>
      </c>
      <c r="G170" s="3">
        <f t="shared" si="9"/>
        <v>7.9250368235294119E-2</v>
      </c>
      <c r="H170" s="3">
        <f>((42/14000)*9000)*((0.993)^3)</f>
        <v>26.436959738999999</v>
      </c>
      <c r="I170" s="9">
        <v>1.2720000000000001E-3</v>
      </c>
      <c r="J170" s="9">
        <v>1.7719999999999999E-3</v>
      </c>
      <c r="K170" s="9">
        <v>5.44E-4</v>
      </c>
      <c r="L170">
        <v>7.9250368239999994E-2</v>
      </c>
      <c r="M170">
        <v>7.9250368239999994E-2</v>
      </c>
    </row>
    <row r="171" spans="1:15" x14ac:dyDescent="0.3">
      <c r="A171" t="s">
        <v>40</v>
      </c>
      <c r="B171" t="s">
        <v>14</v>
      </c>
      <c r="C171" t="s">
        <v>29</v>
      </c>
      <c r="D171" t="s">
        <v>25</v>
      </c>
      <c r="E171">
        <v>2025</v>
      </c>
      <c r="G171" s="3">
        <f>G170*1.1</f>
        <v>8.7175405058823541E-2</v>
      </c>
      <c r="H171" s="3">
        <f>(0.93*H170)*((0.993)^3)</f>
        <v>24.07366449720746</v>
      </c>
      <c r="I171" s="9">
        <v>1.2720000000000001E-3</v>
      </c>
      <c r="J171" s="9">
        <v>1.7719999999999999E-3</v>
      </c>
      <c r="K171" s="9">
        <v>5.44E-4</v>
      </c>
      <c r="L171">
        <v>8.7175405060000002E-2</v>
      </c>
      <c r="M171">
        <v>8.7175405060000002E-2</v>
      </c>
    </row>
    <row r="172" spans="1:15" x14ac:dyDescent="0.3">
      <c r="A172" t="s">
        <v>40</v>
      </c>
      <c r="B172" t="s">
        <v>14</v>
      </c>
      <c r="C172" t="s">
        <v>29</v>
      </c>
      <c r="D172" t="s">
        <v>26</v>
      </c>
      <c r="E172">
        <v>2025</v>
      </c>
      <c r="G172" s="3">
        <f>G171*1.07</f>
        <v>9.3277683412941195E-2</v>
      </c>
      <c r="H172" s="3">
        <f>(H170*0.7)*((0.993)^3)</f>
        <v>18.119962524779805</v>
      </c>
      <c r="I172" s="9">
        <v>1.2720000000000001E-3</v>
      </c>
      <c r="J172" s="9">
        <v>1.7719999999999999E-3</v>
      </c>
      <c r="K172" s="9">
        <v>5.44E-4</v>
      </c>
      <c r="L172">
        <v>9.3277683410000006E-2</v>
      </c>
      <c r="M172">
        <v>9.3277683410000006E-2</v>
      </c>
    </row>
    <row r="173" spans="1:15" x14ac:dyDescent="0.3">
      <c r="A173" t="s">
        <v>40</v>
      </c>
      <c r="B173" t="s">
        <v>14</v>
      </c>
      <c r="C173" t="s">
        <v>29</v>
      </c>
      <c r="D173" t="s">
        <v>11</v>
      </c>
      <c r="E173">
        <v>2025</v>
      </c>
      <c r="G173" s="3">
        <v>9999</v>
      </c>
      <c r="H173" s="3">
        <f>0*((0.993)^3)</f>
        <v>0</v>
      </c>
      <c r="I173" s="9">
        <v>1.2720000000000001E-3</v>
      </c>
      <c r="J173" s="9">
        <v>1.7719999999999999E-3</v>
      </c>
      <c r="K173" s="9">
        <v>5.44E-4</v>
      </c>
      <c r="L173">
        <v>12498.75</v>
      </c>
      <c r="M173">
        <v>7499.25</v>
      </c>
    </row>
    <row r="174" spans="1:15" x14ac:dyDescent="0.3">
      <c r="A174" t="s">
        <v>40</v>
      </c>
      <c r="B174" t="s">
        <v>14</v>
      </c>
      <c r="C174" t="s">
        <v>29</v>
      </c>
      <c r="D174" t="s">
        <v>27</v>
      </c>
      <c r="E174">
        <v>2025</v>
      </c>
      <c r="G174" s="3">
        <v>9999</v>
      </c>
      <c r="H174" s="3">
        <f>0*((0.993)^3)</f>
        <v>0</v>
      </c>
      <c r="I174" s="9">
        <v>1.2720000000000001E-3</v>
      </c>
      <c r="J174" s="9">
        <v>1.7719999999999999E-3</v>
      </c>
      <c r="K174" s="9">
        <v>5.44E-4</v>
      </c>
      <c r="L174">
        <v>12498.75</v>
      </c>
      <c r="M174">
        <v>7499.25</v>
      </c>
    </row>
    <row r="175" spans="1:15" x14ac:dyDescent="0.3">
      <c r="A175" t="s">
        <v>40</v>
      </c>
      <c r="B175" t="s">
        <v>14</v>
      </c>
      <c r="C175" t="s">
        <v>29</v>
      </c>
      <c r="D175" t="s">
        <v>28</v>
      </c>
      <c r="E175">
        <v>2025</v>
      </c>
      <c r="G175" s="3">
        <f>G171*1.22</f>
        <v>0.10635399417176472</v>
      </c>
      <c r="H175" s="3">
        <f>(0.9*H170)*((0.993)^3)</f>
        <v>23.297094674716899</v>
      </c>
      <c r="I175" s="9">
        <v>1.2720000000000001E-3</v>
      </c>
      <c r="J175" s="9">
        <v>1.7719999999999999E-3</v>
      </c>
      <c r="K175" s="9">
        <v>5.44E-4</v>
      </c>
      <c r="L175">
        <v>0.1329424927</v>
      </c>
      <c r="M175">
        <v>7.9765495630000002E-2</v>
      </c>
    </row>
    <row r="176" spans="1:15" x14ac:dyDescent="0.3">
      <c r="A176" t="s">
        <v>40</v>
      </c>
      <c r="B176" t="s">
        <v>14</v>
      </c>
      <c r="C176" t="s">
        <v>29</v>
      </c>
      <c r="D176" t="s">
        <v>13</v>
      </c>
      <c r="E176">
        <v>2025</v>
      </c>
      <c r="G176" s="3">
        <f>G175*1.05</f>
        <v>0.11167169388035296</v>
      </c>
      <c r="H176" s="3">
        <f>(H170*0.24)*((0.993)^3)</f>
        <v>6.2125585799245053</v>
      </c>
      <c r="I176" s="9">
        <v>1.2720000000000001E-3</v>
      </c>
      <c r="J176" s="9">
        <v>1.7719999999999999E-3</v>
      </c>
      <c r="K176" s="9">
        <v>5.44E-4</v>
      </c>
      <c r="L176">
        <v>0.1395896174</v>
      </c>
      <c r="M176">
        <v>8.3753770409999997E-2</v>
      </c>
    </row>
    <row r="177" spans="1:13" x14ac:dyDescent="0.3">
      <c r="A177" t="s">
        <v>40</v>
      </c>
      <c r="B177" t="s">
        <v>16</v>
      </c>
      <c r="C177" t="s">
        <v>29</v>
      </c>
      <c r="D177" t="s">
        <v>44</v>
      </c>
      <c r="E177">
        <v>2025</v>
      </c>
      <c r="F177">
        <f>69.951/8500</f>
        <v>8.229529411764705E-3</v>
      </c>
      <c r="G177" s="3">
        <f t="shared" si="9"/>
        <v>7.9250368235294119E-2</v>
      </c>
      <c r="H177" s="3">
        <f>((42/14000)*9000)*((0.993)^3)</f>
        <v>26.436959738999999</v>
      </c>
      <c r="I177" s="9">
        <v>1.2720000000000001E-3</v>
      </c>
      <c r="J177" s="9">
        <v>1.7719999999999999E-3</v>
      </c>
      <c r="K177" s="9">
        <v>5.44E-4</v>
      </c>
      <c r="L177">
        <v>7.9250368239999994E-2</v>
      </c>
      <c r="M177">
        <v>7.9250368239999994E-2</v>
      </c>
    </row>
    <row r="178" spans="1:13" x14ac:dyDescent="0.3">
      <c r="A178" t="s">
        <v>40</v>
      </c>
      <c r="B178" t="s">
        <v>16</v>
      </c>
      <c r="C178" t="s">
        <v>29</v>
      </c>
      <c r="D178" t="s">
        <v>25</v>
      </c>
      <c r="E178">
        <v>2025</v>
      </c>
      <c r="G178" s="3">
        <f>G177*1.1</f>
        <v>8.7175405058823541E-2</v>
      </c>
      <c r="H178" s="3">
        <f>(0.93*H177)*((0.993)^3)</f>
        <v>24.07366449720746</v>
      </c>
      <c r="I178" s="9">
        <v>1.2720000000000001E-3</v>
      </c>
      <c r="J178" s="9">
        <v>1.7719999999999999E-3</v>
      </c>
      <c r="K178" s="9">
        <v>5.44E-4</v>
      </c>
      <c r="L178">
        <v>8.7175405060000002E-2</v>
      </c>
      <c r="M178">
        <v>8.7175405060000002E-2</v>
      </c>
    </row>
    <row r="179" spans="1:13" x14ac:dyDescent="0.3">
      <c r="A179" t="s">
        <v>40</v>
      </c>
      <c r="B179" t="s">
        <v>16</v>
      </c>
      <c r="C179" t="s">
        <v>29</v>
      </c>
      <c r="D179" t="s">
        <v>26</v>
      </c>
      <c r="E179">
        <v>2025</v>
      </c>
      <c r="G179" s="3">
        <f>G178*1.07</f>
        <v>9.3277683412941195E-2</v>
      </c>
      <c r="H179" s="3">
        <f>(H177*0.7)*((0.993)^3)</f>
        <v>18.119962524779805</v>
      </c>
      <c r="I179" s="9">
        <v>1.2720000000000001E-3</v>
      </c>
      <c r="J179" s="9">
        <v>1.7719999999999999E-3</v>
      </c>
      <c r="K179" s="9">
        <v>5.44E-4</v>
      </c>
      <c r="L179">
        <v>9.3277683410000006E-2</v>
      </c>
      <c r="M179">
        <v>9.3277683410000006E-2</v>
      </c>
    </row>
    <row r="180" spans="1:13" x14ac:dyDescent="0.3">
      <c r="A180" t="s">
        <v>40</v>
      </c>
      <c r="B180" t="s">
        <v>16</v>
      </c>
      <c r="C180" t="s">
        <v>29</v>
      </c>
      <c r="D180" t="s">
        <v>11</v>
      </c>
      <c r="E180">
        <v>2025</v>
      </c>
      <c r="G180" s="3">
        <v>9999</v>
      </c>
      <c r="H180" s="3">
        <f>0*((0.993)^3)</f>
        <v>0</v>
      </c>
      <c r="I180" s="9">
        <v>1.2720000000000001E-3</v>
      </c>
      <c r="J180" s="9">
        <v>1.7719999999999999E-3</v>
      </c>
      <c r="K180" s="9">
        <v>5.44E-4</v>
      </c>
      <c r="L180">
        <v>12498.75</v>
      </c>
      <c r="M180">
        <v>7499.25</v>
      </c>
    </row>
    <row r="181" spans="1:13" x14ac:dyDescent="0.3">
      <c r="A181" t="s">
        <v>40</v>
      </c>
      <c r="B181" t="s">
        <v>16</v>
      </c>
      <c r="C181" t="s">
        <v>29</v>
      </c>
      <c r="D181" t="s">
        <v>27</v>
      </c>
      <c r="E181">
        <v>2025</v>
      </c>
      <c r="G181" s="3">
        <v>9999</v>
      </c>
      <c r="H181" s="3">
        <f>0*((0.993)^3)</f>
        <v>0</v>
      </c>
      <c r="I181" s="9">
        <v>1.2720000000000001E-3</v>
      </c>
      <c r="J181" s="9">
        <v>1.7719999999999999E-3</v>
      </c>
      <c r="K181" s="9">
        <v>5.44E-4</v>
      </c>
      <c r="L181">
        <v>12498.75</v>
      </c>
      <c r="M181">
        <v>7499.25</v>
      </c>
    </row>
    <row r="182" spans="1:13" x14ac:dyDescent="0.3">
      <c r="A182" t="s">
        <v>40</v>
      </c>
      <c r="B182" t="s">
        <v>16</v>
      </c>
      <c r="C182" t="s">
        <v>29</v>
      </c>
      <c r="D182" t="s">
        <v>28</v>
      </c>
      <c r="E182">
        <v>2025</v>
      </c>
      <c r="G182" s="3">
        <f>G178*1.22</f>
        <v>0.10635399417176472</v>
      </c>
      <c r="H182" s="3">
        <f>(0.9*H177)*((0.993)^3)</f>
        <v>23.297094674716899</v>
      </c>
      <c r="I182" s="9">
        <v>1.2720000000000001E-3</v>
      </c>
      <c r="J182" s="9">
        <v>1.7719999999999999E-3</v>
      </c>
      <c r="K182" s="9">
        <v>5.44E-4</v>
      </c>
      <c r="L182">
        <v>0.1329424927</v>
      </c>
      <c r="M182">
        <v>7.9765495630000002E-2</v>
      </c>
    </row>
    <row r="183" spans="1:13" x14ac:dyDescent="0.3">
      <c r="A183" t="s">
        <v>40</v>
      </c>
      <c r="B183" t="s">
        <v>16</v>
      </c>
      <c r="C183" t="s">
        <v>29</v>
      </c>
      <c r="D183" t="s">
        <v>13</v>
      </c>
      <c r="E183">
        <v>2025</v>
      </c>
      <c r="G183" s="3">
        <f>G182*1.05</f>
        <v>0.11167169388035296</v>
      </c>
      <c r="H183" s="3">
        <f>(H177*0.24)*((0.993)^3)</f>
        <v>6.2125585799245053</v>
      </c>
      <c r="I183" s="9">
        <v>1.2720000000000001E-3</v>
      </c>
      <c r="J183" s="9">
        <v>1.7719999999999999E-3</v>
      </c>
      <c r="K183" s="9">
        <v>5.44E-4</v>
      </c>
      <c r="L183">
        <v>0.1395896174</v>
      </c>
      <c r="M183">
        <v>8.3753770409999997E-2</v>
      </c>
    </row>
    <row r="184" spans="1:13" x14ac:dyDescent="0.3">
      <c r="A184" t="s">
        <v>40</v>
      </c>
      <c r="B184" t="s">
        <v>65</v>
      </c>
      <c r="C184" t="s">
        <v>29</v>
      </c>
      <c r="D184" t="s">
        <v>44</v>
      </c>
      <c r="E184">
        <v>2025</v>
      </c>
      <c r="F184">
        <f>69.951/8500</f>
        <v>8.229529411764705E-3</v>
      </c>
      <c r="G184" s="3">
        <f t="shared" si="9"/>
        <v>7.9250368235294119E-2</v>
      </c>
      <c r="H184" s="3">
        <f>((42/14000)*9000)*((0.993)^3)</f>
        <v>26.436959738999999</v>
      </c>
      <c r="I184" s="9">
        <v>1.2720000000000001E-3</v>
      </c>
      <c r="J184" s="9">
        <v>1.7719999999999999E-3</v>
      </c>
      <c r="K184" s="9">
        <v>5.44E-4</v>
      </c>
      <c r="L184">
        <v>7.9250368239999994E-2</v>
      </c>
      <c r="M184">
        <v>7.9250368239999994E-2</v>
      </c>
    </row>
    <row r="185" spans="1:13" x14ac:dyDescent="0.3">
      <c r="A185" t="s">
        <v>40</v>
      </c>
      <c r="B185" t="s">
        <v>65</v>
      </c>
      <c r="C185" t="s">
        <v>29</v>
      </c>
      <c r="D185" t="s">
        <v>25</v>
      </c>
      <c r="E185">
        <v>2025</v>
      </c>
      <c r="G185" s="3">
        <f>G184*1.1</f>
        <v>8.7175405058823541E-2</v>
      </c>
      <c r="H185" s="3">
        <f>(0.93*H184)*((0.993)^3)</f>
        <v>24.07366449720746</v>
      </c>
      <c r="I185" s="9">
        <v>1.2720000000000001E-3</v>
      </c>
      <c r="J185" s="9">
        <v>1.7719999999999999E-3</v>
      </c>
      <c r="K185" s="9">
        <v>5.44E-4</v>
      </c>
      <c r="L185">
        <v>8.7175405060000002E-2</v>
      </c>
      <c r="M185">
        <v>8.7175405060000002E-2</v>
      </c>
    </row>
    <row r="186" spans="1:13" x14ac:dyDescent="0.3">
      <c r="A186" t="s">
        <v>40</v>
      </c>
      <c r="B186" t="s">
        <v>65</v>
      </c>
      <c r="C186" t="s">
        <v>29</v>
      </c>
      <c r="D186" t="s">
        <v>26</v>
      </c>
      <c r="E186">
        <v>2025</v>
      </c>
      <c r="G186" s="3">
        <f>G185*1.07</f>
        <v>9.3277683412941195E-2</v>
      </c>
      <c r="H186" s="3">
        <f>(H184*0.7)*((0.993)^3)</f>
        <v>18.119962524779805</v>
      </c>
      <c r="I186" s="9">
        <v>1.2720000000000001E-3</v>
      </c>
      <c r="J186" s="9">
        <v>1.7719999999999999E-3</v>
      </c>
      <c r="K186" s="9">
        <v>5.44E-4</v>
      </c>
      <c r="L186">
        <v>9.3277683410000006E-2</v>
      </c>
      <c r="M186">
        <v>9.3277683410000006E-2</v>
      </c>
    </row>
    <row r="187" spans="1:13" x14ac:dyDescent="0.3">
      <c r="A187" t="s">
        <v>40</v>
      </c>
      <c r="B187" t="s">
        <v>65</v>
      </c>
      <c r="C187" t="s">
        <v>29</v>
      </c>
      <c r="D187" t="s">
        <v>11</v>
      </c>
      <c r="E187">
        <v>2025</v>
      </c>
      <c r="G187" s="3">
        <v>9999</v>
      </c>
      <c r="H187" s="3">
        <f>0*((0.993)^3)</f>
        <v>0</v>
      </c>
      <c r="I187" s="9">
        <v>1.2720000000000001E-3</v>
      </c>
      <c r="J187" s="9">
        <v>1.7719999999999999E-3</v>
      </c>
      <c r="K187" s="9">
        <v>5.44E-4</v>
      </c>
      <c r="L187">
        <v>12498.75</v>
      </c>
      <c r="M187">
        <v>7499.25</v>
      </c>
    </row>
    <row r="188" spans="1:13" x14ac:dyDescent="0.3">
      <c r="A188" t="s">
        <v>40</v>
      </c>
      <c r="B188" t="s">
        <v>65</v>
      </c>
      <c r="C188" t="s">
        <v>29</v>
      </c>
      <c r="D188" t="s">
        <v>27</v>
      </c>
      <c r="E188">
        <v>2025</v>
      </c>
      <c r="G188" s="3">
        <v>9999</v>
      </c>
      <c r="H188" s="3">
        <f>0*((0.993)^3)</f>
        <v>0</v>
      </c>
      <c r="I188" s="9">
        <v>1.2720000000000001E-3</v>
      </c>
      <c r="J188" s="9">
        <v>1.7719999999999999E-3</v>
      </c>
      <c r="K188" s="9">
        <v>5.44E-4</v>
      </c>
      <c r="L188">
        <v>12498.75</v>
      </c>
      <c r="M188">
        <v>7499.25</v>
      </c>
    </row>
    <row r="189" spans="1:13" x14ac:dyDescent="0.3">
      <c r="A189" t="s">
        <v>40</v>
      </c>
      <c r="B189" t="s">
        <v>65</v>
      </c>
      <c r="C189" t="s">
        <v>29</v>
      </c>
      <c r="D189" t="s">
        <v>28</v>
      </c>
      <c r="E189">
        <v>2025</v>
      </c>
      <c r="G189" s="3">
        <f>G185*1.22</f>
        <v>0.10635399417176472</v>
      </c>
      <c r="H189" s="3">
        <f>(0.9*H184)*((0.993)^3)</f>
        <v>23.297094674716899</v>
      </c>
      <c r="I189" s="9">
        <v>1.2720000000000001E-3</v>
      </c>
      <c r="J189" s="9">
        <v>1.7719999999999999E-3</v>
      </c>
      <c r="K189" s="9">
        <v>5.44E-4</v>
      </c>
      <c r="L189">
        <v>0.1329424927</v>
      </c>
      <c r="M189">
        <v>7.9765495630000002E-2</v>
      </c>
    </row>
    <row r="190" spans="1:13" x14ac:dyDescent="0.3">
      <c r="A190" t="s">
        <v>40</v>
      </c>
      <c r="B190" t="s">
        <v>65</v>
      </c>
      <c r="C190" t="s">
        <v>29</v>
      </c>
      <c r="D190" t="s">
        <v>13</v>
      </c>
      <c r="E190">
        <v>2025</v>
      </c>
      <c r="G190" s="3">
        <f>G189*1.05</f>
        <v>0.11167169388035296</v>
      </c>
      <c r="H190" s="3">
        <f>(H184*0.24)*((0.993)^3)</f>
        <v>6.2125585799245053</v>
      </c>
      <c r="I190" s="9">
        <v>1.2720000000000001E-3</v>
      </c>
      <c r="J190" s="9">
        <v>1.7719999999999999E-3</v>
      </c>
      <c r="K190" s="9">
        <v>5.44E-4</v>
      </c>
      <c r="L190">
        <v>0.1395896174</v>
      </c>
      <c r="M190">
        <v>8.3753770409999997E-2</v>
      </c>
    </row>
    <row r="191" spans="1:13" x14ac:dyDescent="0.3">
      <c r="A191" t="s">
        <v>40</v>
      </c>
      <c r="B191" t="s">
        <v>18</v>
      </c>
      <c r="C191" t="s">
        <v>30</v>
      </c>
      <c r="D191" t="s">
        <v>44</v>
      </c>
      <c r="E191">
        <v>2025</v>
      </c>
      <c r="F191">
        <f>69.951/2500</f>
        <v>2.7980399999999999E-2</v>
      </c>
      <c r="G191" s="3">
        <f t="shared" si="9"/>
        <v>0.26945125200000003</v>
      </c>
      <c r="H191" s="3">
        <f>((28/4000)*2500)*((0.993)^3)</f>
        <v>17.135066497499999</v>
      </c>
      <c r="I191" s="9">
        <v>1.2720000000000001E-3</v>
      </c>
      <c r="J191" s="9">
        <v>1.7719999999999999E-3</v>
      </c>
      <c r="K191" s="9">
        <v>5.44E-4</v>
      </c>
      <c r="L191">
        <v>0.26945125199999997</v>
      </c>
      <c r="M191">
        <v>0.26945125199999997</v>
      </c>
    </row>
    <row r="192" spans="1:13" x14ac:dyDescent="0.3">
      <c r="A192" t="s">
        <v>40</v>
      </c>
      <c r="B192" t="s">
        <v>18</v>
      </c>
      <c r="C192" t="s">
        <v>30</v>
      </c>
      <c r="D192" t="s">
        <v>25</v>
      </c>
      <c r="E192">
        <v>2025</v>
      </c>
      <c r="G192" s="3">
        <f>G191*1.1</f>
        <v>0.29639637720000006</v>
      </c>
      <c r="H192" s="3">
        <f>(0.93*H191)*((0.993)^3)</f>
        <v>15.603301063004835</v>
      </c>
      <c r="I192" s="9">
        <v>1.2720000000000001E-3</v>
      </c>
      <c r="J192" s="9">
        <v>1.7719999999999999E-3</v>
      </c>
      <c r="K192" s="9">
        <v>5.44E-4</v>
      </c>
      <c r="L192">
        <v>0.29639637720000001</v>
      </c>
      <c r="M192">
        <v>0.29639637720000001</v>
      </c>
    </row>
    <row r="193" spans="1:13" x14ac:dyDescent="0.3">
      <c r="A193" t="s">
        <v>40</v>
      </c>
      <c r="B193" t="s">
        <v>18</v>
      </c>
      <c r="C193" t="s">
        <v>30</v>
      </c>
      <c r="D193" t="s">
        <v>26</v>
      </c>
      <c r="E193">
        <v>2025</v>
      </c>
      <c r="G193" s="3">
        <f>G192*1.07</f>
        <v>0.31714412360400007</v>
      </c>
      <c r="H193" s="3">
        <f>(H191*0.7)*((0.993)^3)</f>
        <v>11.744420154949873</v>
      </c>
      <c r="I193" s="9">
        <v>1.2720000000000001E-3</v>
      </c>
      <c r="J193" s="9">
        <v>1.7719999999999999E-3</v>
      </c>
      <c r="K193" s="9">
        <v>5.44E-4</v>
      </c>
      <c r="L193">
        <v>0.31714412359999999</v>
      </c>
      <c r="M193">
        <v>0.31714412359999999</v>
      </c>
    </row>
    <row r="194" spans="1:13" x14ac:dyDescent="0.3">
      <c r="A194" t="s">
        <v>40</v>
      </c>
      <c r="B194" t="s">
        <v>18</v>
      </c>
      <c r="C194" t="s">
        <v>30</v>
      </c>
      <c r="D194" t="s">
        <v>11</v>
      </c>
      <c r="E194">
        <v>2025</v>
      </c>
      <c r="G194" s="3">
        <v>9999</v>
      </c>
      <c r="H194" s="3">
        <f>0*((0.993)^3)</f>
        <v>0</v>
      </c>
      <c r="I194" s="9">
        <v>1.2720000000000001E-3</v>
      </c>
      <c r="J194" s="9">
        <v>1.7719999999999999E-3</v>
      </c>
      <c r="K194" s="9">
        <v>5.44E-4</v>
      </c>
      <c r="L194">
        <v>12498.75</v>
      </c>
      <c r="M194">
        <v>7499.25</v>
      </c>
    </row>
    <row r="195" spans="1:13" x14ac:dyDescent="0.3">
      <c r="A195" t="s">
        <v>40</v>
      </c>
      <c r="B195" t="s">
        <v>18</v>
      </c>
      <c r="C195" t="s">
        <v>30</v>
      </c>
      <c r="D195" t="s">
        <v>27</v>
      </c>
      <c r="E195">
        <v>2025</v>
      </c>
      <c r="G195" s="3">
        <v>9999</v>
      </c>
      <c r="H195" s="3">
        <f>0*((0.993)^3)</f>
        <v>0</v>
      </c>
      <c r="I195" s="9">
        <v>1.2720000000000001E-3</v>
      </c>
      <c r="J195" s="9">
        <v>1.7719999999999999E-3</v>
      </c>
      <c r="K195" s="9">
        <v>5.44E-4</v>
      </c>
      <c r="L195">
        <v>12498.75</v>
      </c>
      <c r="M195">
        <v>7499.25</v>
      </c>
    </row>
    <row r="196" spans="1:13" x14ac:dyDescent="0.3">
      <c r="A196" t="s">
        <v>40</v>
      </c>
      <c r="B196" t="s">
        <v>18</v>
      </c>
      <c r="C196" t="s">
        <v>30</v>
      </c>
      <c r="D196" t="s">
        <v>28</v>
      </c>
      <c r="E196">
        <v>2025</v>
      </c>
      <c r="G196" s="3">
        <f>G192*1.22</f>
        <v>0.36160358018400007</v>
      </c>
      <c r="H196" s="3">
        <f>(0.9*H191)*((0.993)^3)</f>
        <v>15.09996877064984</v>
      </c>
      <c r="I196" s="9">
        <v>1.2720000000000001E-3</v>
      </c>
      <c r="J196" s="9">
        <v>1.7719999999999999E-3</v>
      </c>
      <c r="K196" s="9">
        <v>5.44E-4</v>
      </c>
      <c r="L196">
        <v>0.45200447519999998</v>
      </c>
      <c r="M196">
        <v>0.27120268510000001</v>
      </c>
    </row>
    <row r="197" spans="1:13" x14ac:dyDescent="0.3">
      <c r="A197" t="s">
        <v>40</v>
      </c>
      <c r="B197" t="s">
        <v>18</v>
      </c>
      <c r="C197" t="s">
        <v>30</v>
      </c>
      <c r="D197" t="s">
        <v>13</v>
      </c>
      <c r="E197">
        <v>2025</v>
      </c>
      <c r="G197" s="3">
        <f>G196*1.05</f>
        <v>0.37968375919320008</v>
      </c>
      <c r="H197" s="3">
        <f>(H191*0.24)*((0.993)^3)</f>
        <v>4.0266583388399573</v>
      </c>
      <c r="I197" s="9">
        <v>1.2720000000000001E-3</v>
      </c>
      <c r="J197" s="9">
        <v>1.7719999999999999E-3</v>
      </c>
      <c r="K197" s="9">
        <v>5.44E-4</v>
      </c>
      <c r="L197">
        <v>0.47460469900000002</v>
      </c>
      <c r="M197">
        <v>0.28476281939999998</v>
      </c>
    </row>
    <row r="198" spans="1:13" x14ac:dyDescent="0.3">
      <c r="A198" t="s">
        <v>40</v>
      </c>
      <c r="B198" t="s">
        <v>20</v>
      </c>
      <c r="C198" t="s">
        <v>30</v>
      </c>
      <c r="D198" t="s">
        <v>44</v>
      </c>
      <c r="E198">
        <v>2025</v>
      </c>
      <c r="F198">
        <f>69.951/2500</f>
        <v>2.7980399999999999E-2</v>
      </c>
      <c r="G198" s="3">
        <f t="shared" si="9"/>
        <v>0.26945125200000003</v>
      </c>
      <c r="H198" s="3">
        <f>((28/4000)*2500)*((0.993)^3)</f>
        <v>17.135066497499999</v>
      </c>
      <c r="I198" s="9">
        <v>1.2720000000000001E-3</v>
      </c>
      <c r="J198" s="9">
        <v>1.7719999999999999E-3</v>
      </c>
      <c r="K198" s="9">
        <v>5.44E-4</v>
      </c>
      <c r="L198">
        <v>0.26945125199999997</v>
      </c>
      <c r="M198">
        <v>0.26945125199999997</v>
      </c>
    </row>
    <row r="199" spans="1:13" x14ac:dyDescent="0.3">
      <c r="A199" t="s">
        <v>40</v>
      </c>
      <c r="B199" t="s">
        <v>20</v>
      </c>
      <c r="C199" t="s">
        <v>30</v>
      </c>
      <c r="D199" t="s">
        <v>25</v>
      </c>
      <c r="E199">
        <v>2025</v>
      </c>
      <c r="G199" s="3">
        <f>G198*1.1</f>
        <v>0.29639637720000006</v>
      </c>
      <c r="H199" s="3">
        <f>(0.93*H198)*((0.993)^3)</f>
        <v>15.603301063004835</v>
      </c>
      <c r="I199" s="9">
        <v>1.2720000000000001E-3</v>
      </c>
      <c r="J199" s="9">
        <v>1.7719999999999999E-3</v>
      </c>
      <c r="K199" s="9">
        <v>5.44E-4</v>
      </c>
      <c r="L199">
        <v>0.29639637720000001</v>
      </c>
      <c r="M199">
        <v>0.29639637720000001</v>
      </c>
    </row>
    <row r="200" spans="1:13" x14ac:dyDescent="0.3">
      <c r="A200" t="s">
        <v>40</v>
      </c>
      <c r="B200" t="s">
        <v>20</v>
      </c>
      <c r="C200" t="s">
        <v>30</v>
      </c>
      <c r="D200" t="s">
        <v>26</v>
      </c>
      <c r="E200">
        <v>2025</v>
      </c>
      <c r="G200" s="3">
        <f>G199*1.07</f>
        <v>0.31714412360400007</v>
      </c>
      <c r="H200" s="3">
        <f>(H198*0.7)*((0.993)^3)</f>
        <v>11.744420154949873</v>
      </c>
      <c r="I200" s="9">
        <v>1.2720000000000001E-3</v>
      </c>
      <c r="J200" s="9">
        <v>1.7719999999999999E-3</v>
      </c>
      <c r="K200" s="9">
        <v>5.44E-4</v>
      </c>
      <c r="L200">
        <v>0.31714412359999999</v>
      </c>
      <c r="M200">
        <v>0.31714412359999999</v>
      </c>
    </row>
    <row r="201" spans="1:13" x14ac:dyDescent="0.3">
      <c r="A201" t="s">
        <v>40</v>
      </c>
      <c r="B201" t="s">
        <v>20</v>
      </c>
      <c r="C201" t="s">
        <v>30</v>
      </c>
      <c r="D201" t="s">
        <v>11</v>
      </c>
      <c r="E201">
        <v>2025</v>
      </c>
      <c r="G201" s="3">
        <v>9999</v>
      </c>
      <c r="H201" s="3">
        <f>0*((0.993)^3)</f>
        <v>0</v>
      </c>
      <c r="I201" s="9">
        <v>1.2720000000000001E-3</v>
      </c>
      <c r="J201" s="9">
        <v>1.7719999999999999E-3</v>
      </c>
      <c r="K201" s="9">
        <v>5.44E-4</v>
      </c>
      <c r="L201">
        <v>12498.75</v>
      </c>
      <c r="M201">
        <v>7499.25</v>
      </c>
    </row>
    <row r="202" spans="1:13" x14ac:dyDescent="0.3">
      <c r="A202" t="s">
        <v>40</v>
      </c>
      <c r="B202" t="s">
        <v>20</v>
      </c>
      <c r="C202" t="s">
        <v>30</v>
      </c>
      <c r="D202" t="s">
        <v>27</v>
      </c>
      <c r="E202">
        <v>2025</v>
      </c>
      <c r="G202" s="3">
        <v>9999</v>
      </c>
      <c r="H202" s="3">
        <f>0*((0.993)^3)</f>
        <v>0</v>
      </c>
      <c r="I202" s="9">
        <v>1.2720000000000001E-3</v>
      </c>
      <c r="J202" s="9">
        <v>1.7719999999999999E-3</v>
      </c>
      <c r="K202" s="9">
        <v>5.44E-4</v>
      </c>
      <c r="L202">
        <v>12498.75</v>
      </c>
      <c r="M202">
        <v>7499.25</v>
      </c>
    </row>
    <row r="203" spans="1:13" x14ac:dyDescent="0.3">
      <c r="A203" t="s">
        <v>40</v>
      </c>
      <c r="B203" t="s">
        <v>20</v>
      </c>
      <c r="C203" t="s">
        <v>30</v>
      </c>
      <c r="D203" t="s">
        <v>28</v>
      </c>
      <c r="E203">
        <v>2025</v>
      </c>
      <c r="G203" s="3">
        <f>G199*1.22</f>
        <v>0.36160358018400007</v>
      </c>
      <c r="H203" s="3">
        <f>(0.9*H198)*((0.993)^3)</f>
        <v>15.09996877064984</v>
      </c>
      <c r="I203" s="9">
        <v>1.2720000000000001E-3</v>
      </c>
      <c r="J203" s="9">
        <v>1.7719999999999999E-3</v>
      </c>
      <c r="K203" s="9">
        <v>5.44E-4</v>
      </c>
      <c r="L203">
        <v>0.45200447519999998</v>
      </c>
      <c r="M203">
        <v>0.27120268510000001</v>
      </c>
    </row>
    <row r="204" spans="1:13" x14ac:dyDescent="0.3">
      <c r="A204" t="s">
        <v>40</v>
      </c>
      <c r="B204" t="s">
        <v>20</v>
      </c>
      <c r="C204" t="s">
        <v>30</v>
      </c>
      <c r="D204" t="s">
        <v>13</v>
      </c>
      <c r="E204">
        <v>2025</v>
      </c>
      <c r="G204" s="3">
        <f>G203*1.05</f>
        <v>0.37968375919320008</v>
      </c>
      <c r="H204" s="3">
        <f>(H198*0.24)*((0.993)^3)</f>
        <v>4.0266583388399573</v>
      </c>
      <c r="I204" s="9">
        <v>1.2720000000000001E-3</v>
      </c>
      <c r="J204" s="9">
        <v>1.7719999999999999E-3</v>
      </c>
      <c r="K204" s="9">
        <v>5.44E-4</v>
      </c>
      <c r="L204">
        <v>0.47460469900000002</v>
      </c>
      <c r="M204">
        <v>0.28476281939999998</v>
      </c>
    </row>
    <row r="205" spans="1:13" x14ac:dyDescent="0.3">
      <c r="A205" t="s">
        <v>40</v>
      </c>
      <c r="B205" t="s">
        <v>22</v>
      </c>
      <c r="C205" t="s">
        <v>31</v>
      </c>
      <c r="D205" t="s">
        <v>44</v>
      </c>
      <c r="E205">
        <v>2025</v>
      </c>
      <c r="F205">
        <f>69.951/17000</f>
        <v>4.1147647058823525E-3</v>
      </c>
      <c r="G205" s="3">
        <f t="shared" si="9"/>
        <v>3.962518411764706E-2</v>
      </c>
      <c r="H205" s="3">
        <f>((12/15000)*17000)*((0.993)^3)</f>
        <v>13.316394535200001</v>
      </c>
      <c r="I205" s="9">
        <v>1.2720000000000001E-3</v>
      </c>
      <c r="J205" s="9">
        <v>1.7719999999999999E-3</v>
      </c>
      <c r="K205" s="9">
        <v>5.44E-4</v>
      </c>
      <c r="L205">
        <v>3.9625184119999997E-2</v>
      </c>
      <c r="M205">
        <v>3.9625184119999997E-2</v>
      </c>
    </row>
    <row r="206" spans="1:13" x14ac:dyDescent="0.3">
      <c r="A206" t="s">
        <v>40</v>
      </c>
      <c r="B206" t="s">
        <v>22</v>
      </c>
      <c r="C206" t="s">
        <v>31</v>
      </c>
      <c r="D206" t="s">
        <v>25</v>
      </c>
      <c r="E206">
        <v>2025</v>
      </c>
      <c r="G206" s="3">
        <f>G205*1.1</f>
        <v>4.358770252941177E-2</v>
      </c>
      <c r="H206" s="3">
        <f>(0.93*H205)*((0.993)^3)</f>
        <v>12.12599396896376</v>
      </c>
      <c r="I206" s="9">
        <v>1.2720000000000001E-3</v>
      </c>
      <c r="J206" s="9">
        <v>1.7719999999999999E-3</v>
      </c>
      <c r="K206" s="9">
        <v>5.44E-4</v>
      </c>
      <c r="L206">
        <v>4.3587702530000001E-2</v>
      </c>
      <c r="M206">
        <v>4.3587702530000001E-2</v>
      </c>
    </row>
    <row r="207" spans="1:13" x14ac:dyDescent="0.3">
      <c r="A207" t="s">
        <v>40</v>
      </c>
      <c r="B207" t="s">
        <v>22</v>
      </c>
      <c r="C207" t="s">
        <v>31</v>
      </c>
      <c r="D207" t="s">
        <v>26</v>
      </c>
      <c r="E207">
        <v>2025</v>
      </c>
      <c r="G207" s="3">
        <f>G206*1.07</f>
        <v>4.6638841706470598E-2</v>
      </c>
      <c r="H207" s="3">
        <f>(H205*0.7)*((0.993)^3)</f>
        <v>9.1270922347039019</v>
      </c>
      <c r="I207" s="9">
        <v>1.2720000000000001E-3</v>
      </c>
      <c r="J207" s="9">
        <v>1.7719999999999999E-3</v>
      </c>
      <c r="K207" s="9">
        <v>5.44E-4</v>
      </c>
      <c r="L207">
        <v>4.6638841709999997E-2</v>
      </c>
      <c r="M207">
        <v>4.6638841709999997E-2</v>
      </c>
    </row>
    <row r="208" spans="1:13" x14ac:dyDescent="0.3">
      <c r="A208" t="s">
        <v>40</v>
      </c>
      <c r="B208" t="s">
        <v>22</v>
      </c>
      <c r="C208" t="s">
        <v>31</v>
      </c>
      <c r="D208" t="s">
        <v>11</v>
      </c>
      <c r="E208">
        <v>2025</v>
      </c>
      <c r="G208" s="3">
        <v>9999</v>
      </c>
      <c r="H208" s="3">
        <f>0*((0.993)^3)</f>
        <v>0</v>
      </c>
      <c r="I208" s="9">
        <v>1.2720000000000001E-3</v>
      </c>
      <c r="J208" s="9">
        <v>1.7719999999999999E-3</v>
      </c>
      <c r="K208" s="9">
        <v>5.44E-4</v>
      </c>
      <c r="L208">
        <v>12498.75</v>
      </c>
      <c r="M208">
        <v>7499.25</v>
      </c>
    </row>
    <row r="209" spans="1:13" x14ac:dyDescent="0.3">
      <c r="A209" t="s">
        <v>40</v>
      </c>
      <c r="B209" t="s">
        <v>22</v>
      </c>
      <c r="C209" t="s">
        <v>31</v>
      </c>
      <c r="D209" t="s">
        <v>27</v>
      </c>
      <c r="E209">
        <v>2025</v>
      </c>
      <c r="G209" s="3">
        <v>9999</v>
      </c>
      <c r="H209" s="3">
        <f>0*((0.993)^3)</f>
        <v>0</v>
      </c>
      <c r="I209" s="9">
        <v>1.2720000000000001E-3</v>
      </c>
      <c r="J209" s="9">
        <v>1.7719999999999999E-3</v>
      </c>
      <c r="K209" s="9">
        <v>5.44E-4</v>
      </c>
      <c r="L209">
        <v>12498.75</v>
      </c>
      <c r="M209">
        <v>7499.25</v>
      </c>
    </row>
    <row r="210" spans="1:13" x14ac:dyDescent="0.3">
      <c r="A210" t="s">
        <v>40</v>
      </c>
      <c r="B210" t="s">
        <v>22</v>
      </c>
      <c r="C210" t="s">
        <v>31</v>
      </c>
      <c r="D210" t="s">
        <v>28</v>
      </c>
      <c r="E210">
        <v>2025</v>
      </c>
      <c r="G210" s="3">
        <f>G206*1.22</f>
        <v>5.317699708588236E-2</v>
      </c>
      <c r="H210" s="3">
        <f>(0.9*H205)*((0.993)^3)</f>
        <v>11.734832873190735</v>
      </c>
      <c r="I210" s="9">
        <v>1.2720000000000001E-3</v>
      </c>
      <c r="J210" s="9">
        <v>1.7719999999999999E-3</v>
      </c>
      <c r="K210" s="9">
        <v>5.44E-4</v>
      </c>
      <c r="L210">
        <v>6.647124636E-2</v>
      </c>
      <c r="M210">
        <v>3.9882747810000001E-2</v>
      </c>
    </row>
    <row r="211" spans="1:13" x14ac:dyDescent="0.3">
      <c r="A211" t="s">
        <v>40</v>
      </c>
      <c r="B211" t="s">
        <v>22</v>
      </c>
      <c r="C211" t="s">
        <v>31</v>
      </c>
      <c r="D211" t="s">
        <v>13</v>
      </c>
      <c r="E211">
        <v>2025</v>
      </c>
      <c r="G211" s="3">
        <f>G210*1.05</f>
        <v>5.583584694017648E-2</v>
      </c>
      <c r="H211" s="3">
        <f>(H205*0.24)*((0.993)^3)</f>
        <v>3.1292887661841955</v>
      </c>
      <c r="I211" s="9">
        <v>1.2720000000000001E-3</v>
      </c>
      <c r="J211" s="9">
        <v>1.7719999999999999E-3</v>
      </c>
      <c r="K211" s="9">
        <v>5.44E-4</v>
      </c>
      <c r="L211">
        <v>6.9794808680000001E-2</v>
      </c>
      <c r="M211">
        <v>4.1876885209999999E-2</v>
      </c>
    </row>
    <row r="212" spans="1:13" x14ac:dyDescent="0.3">
      <c r="A212" t="s">
        <v>32</v>
      </c>
      <c r="B212" t="s">
        <v>7</v>
      </c>
      <c r="C212" t="s">
        <v>33</v>
      </c>
      <c r="D212" t="s">
        <v>9</v>
      </c>
      <c r="E212">
        <v>2025</v>
      </c>
      <c r="F212">
        <f>1.2*F213</f>
        <v>1.44E-2</v>
      </c>
      <c r="G212" s="4">
        <f t="shared" ref="G212:G271" si="10">F212*$Q$2</f>
        <v>0.13867200000000002</v>
      </c>
      <c r="H212" s="4">
        <f>18.8*((0.993)^3)</f>
        <v>18.407957151599998</v>
      </c>
      <c r="I212" s="10">
        <v>1.2720000000000001E-3</v>
      </c>
      <c r="J212" s="10">
        <v>1.7719999999999999E-3</v>
      </c>
      <c r="K212" s="10">
        <v>5.44E-4</v>
      </c>
      <c r="L212">
        <v>0.13867199999999999</v>
      </c>
      <c r="M212">
        <v>0.13867199999999999</v>
      </c>
    </row>
    <row r="213" spans="1:13" x14ac:dyDescent="0.3">
      <c r="A213" t="s">
        <v>32</v>
      </c>
      <c r="B213" t="s">
        <v>7</v>
      </c>
      <c r="C213" t="s">
        <v>33</v>
      </c>
      <c r="D213" t="s">
        <v>34</v>
      </c>
      <c r="E213">
        <v>2025</v>
      </c>
      <c r="F213">
        <v>1.2E-2</v>
      </c>
      <c r="G213" s="4">
        <f t="shared" si="10"/>
        <v>0.11556000000000001</v>
      </c>
      <c r="H213" s="4">
        <f>0*((0.993)^3)</f>
        <v>0</v>
      </c>
      <c r="I213" s="10">
        <v>1.2720000000000001E-3</v>
      </c>
      <c r="J213" s="10">
        <v>1.7719999999999999E-3</v>
      </c>
      <c r="K213" s="10">
        <v>5.44E-4</v>
      </c>
      <c r="L213">
        <v>0.11556</v>
      </c>
      <c r="M213">
        <v>0.11556</v>
      </c>
    </row>
    <row r="214" spans="1:13" x14ac:dyDescent="0.3">
      <c r="A214" t="s">
        <v>32</v>
      </c>
      <c r="B214" t="s">
        <v>7</v>
      </c>
      <c r="C214" t="s">
        <v>33</v>
      </c>
      <c r="D214" t="s">
        <v>35</v>
      </c>
      <c r="E214">
        <v>2025</v>
      </c>
      <c r="F214">
        <f>F212*1.1</f>
        <v>1.584E-2</v>
      </c>
      <c r="G214" s="4">
        <f t="shared" si="10"/>
        <v>0.15253920000000001</v>
      </c>
      <c r="H214" s="4">
        <f>(H212*0.7)*((0.993)^3)</f>
        <v>12.616862795031865</v>
      </c>
      <c r="I214" s="10">
        <v>1.2720000000000001E-3</v>
      </c>
      <c r="J214" s="10">
        <v>1.7719999999999999E-3</v>
      </c>
      <c r="K214" s="10">
        <v>5.44E-4</v>
      </c>
      <c r="L214">
        <v>0.19067400000000001</v>
      </c>
      <c r="M214">
        <v>0.1144044</v>
      </c>
    </row>
    <row r="215" spans="1:13" x14ac:dyDescent="0.3">
      <c r="A215" t="s">
        <v>32</v>
      </c>
      <c r="B215" t="s">
        <v>7</v>
      </c>
      <c r="C215" t="s">
        <v>33</v>
      </c>
      <c r="D215" t="s">
        <v>36</v>
      </c>
      <c r="E215">
        <v>2025</v>
      </c>
      <c r="F215">
        <f>F212*1.18</f>
        <v>1.6992E-2</v>
      </c>
      <c r="G215" s="4">
        <f t="shared" si="10"/>
        <v>0.16363296000000002</v>
      </c>
      <c r="H215" s="4">
        <f>0*((0.993)^3)</f>
        <v>0</v>
      </c>
      <c r="I215" s="10">
        <v>1.2720000000000001E-3</v>
      </c>
      <c r="J215" s="10">
        <v>1.7719999999999999E-3</v>
      </c>
      <c r="K215" s="10">
        <v>5.44E-4</v>
      </c>
      <c r="L215">
        <v>0.20454120000000001</v>
      </c>
      <c r="M215">
        <v>0.12272472</v>
      </c>
    </row>
    <row r="216" spans="1:13" x14ac:dyDescent="0.3">
      <c r="A216" t="s">
        <v>32</v>
      </c>
      <c r="B216" t="s">
        <v>7</v>
      </c>
      <c r="C216" t="s">
        <v>33</v>
      </c>
      <c r="D216" t="s">
        <v>11</v>
      </c>
      <c r="E216">
        <v>2025</v>
      </c>
      <c r="F216">
        <f>F212*1.8</f>
        <v>2.5919999999999999E-2</v>
      </c>
      <c r="G216" s="4">
        <f t="shared" si="10"/>
        <v>0.24960960000000001</v>
      </c>
      <c r="H216" s="4">
        <f>0*((0.993)^3)</f>
        <v>0</v>
      </c>
      <c r="I216" s="10">
        <v>1.2720000000000001E-3</v>
      </c>
      <c r="J216" s="10">
        <v>1.7719999999999999E-3</v>
      </c>
      <c r="K216" s="10">
        <v>5.44E-4</v>
      </c>
      <c r="L216">
        <v>0.31201200000000001</v>
      </c>
      <c r="M216">
        <v>0.18720719999999999</v>
      </c>
    </row>
    <row r="217" spans="1:13" x14ac:dyDescent="0.3">
      <c r="A217" t="s">
        <v>32</v>
      </c>
      <c r="B217" t="s">
        <v>7</v>
      </c>
      <c r="C217" t="s">
        <v>33</v>
      </c>
      <c r="D217" t="s">
        <v>12</v>
      </c>
      <c r="E217">
        <v>2025</v>
      </c>
      <c r="F217">
        <f>F212*1.06</f>
        <v>1.5264E-2</v>
      </c>
      <c r="G217" s="4">
        <f t="shared" si="10"/>
        <v>0.14699232000000001</v>
      </c>
      <c r="H217" s="4">
        <f>(H212*0.2)*((0.993)^3)</f>
        <v>3.604817941437676</v>
      </c>
      <c r="I217" s="10">
        <v>1.2720000000000001E-3</v>
      </c>
      <c r="J217" s="10">
        <v>1.7719999999999999E-3</v>
      </c>
      <c r="K217" s="10">
        <v>5.44E-4</v>
      </c>
      <c r="L217">
        <v>0.1837404</v>
      </c>
      <c r="M217">
        <v>0.11024423999999999</v>
      </c>
    </row>
    <row r="218" spans="1:13" x14ac:dyDescent="0.3">
      <c r="A218" t="s">
        <v>32</v>
      </c>
      <c r="B218" t="s">
        <v>14</v>
      </c>
      <c r="C218" t="s">
        <v>37</v>
      </c>
      <c r="D218" t="s">
        <v>9</v>
      </c>
      <c r="E218">
        <v>2025</v>
      </c>
      <c r="F218">
        <f>1.2*F219</f>
        <v>2.0400000000000001E-2</v>
      </c>
      <c r="G218" s="4">
        <f t="shared" si="10"/>
        <v>0.19645200000000004</v>
      </c>
      <c r="H218" s="4">
        <f>17.9*((0.993)^3)</f>
        <v>17.526725160299996</v>
      </c>
      <c r="I218" s="10">
        <v>1.2720000000000001E-3</v>
      </c>
      <c r="J218" s="10">
        <v>1.7719999999999999E-3</v>
      </c>
      <c r="K218" s="10">
        <v>5.44E-4</v>
      </c>
      <c r="L218">
        <v>0.19645199999999999</v>
      </c>
      <c r="M218">
        <v>0.19645199999999999</v>
      </c>
    </row>
    <row r="219" spans="1:13" x14ac:dyDescent="0.3">
      <c r="A219" t="s">
        <v>32</v>
      </c>
      <c r="B219" t="s">
        <v>14</v>
      </c>
      <c r="C219" t="s">
        <v>37</v>
      </c>
      <c r="D219" t="s">
        <v>34</v>
      </c>
      <c r="E219">
        <v>2025</v>
      </c>
      <c r="F219">
        <v>1.7000000000000001E-2</v>
      </c>
      <c r="G219" s="4">
        <f t="shared" si="10"/>
        <v>0.16371000000000002</v>
      </c>
      <c r="H219" s="4">
        <f>0*((0.993)^3)</f>
        <v>0</v>
      </c>
      <c r="I219" s="10">
        <v>1.2720000000000001E-3</v>
      </c>
      <c r="J219" s="10">
        <v>1.7719999999999999E-3</v>
      </c>
      <c r="K219" s="10">
        <v>5.44E-4</v>
      </c>
      <c r="L219">
        <v>0.16370999999999999</v>
      </c>
      <c r="M219">
        <v>0.16370999999999999</v>
      </c>
    </row>
    <row r="220" spans="1:13" x14ac:dyDescent="0.3">
      <c r="A220" t="s">
        <v>32</v>
      </c>
      <c r="B220" t="s">
        <v>14</v>
      </c>
      <c r="C220" t="s">
        <v>37</v>
      </c>
      <c r="D220" t="s">
        <v>35</v>
      </c>
      <c r="E220">
        <v>2025</v>
      </c>
      <c r="F220">
        <f>F218*1.1</f>
        <v>2.2440000000000005E-2</v>
      </c>
      <c r="G220" s="4">
        <f t="shared" si="10"/>
        <v>0.21609720000000007</v>
      </c>
      <c r="H220" s="4">
        <f>(H218*0.7)*((0.993)^3)</f>
        <v>12.01286404420587</v>
      </c>
      <c r="I220" s="10">
        <v>1.2720000000000001E-3</v>
      </c>
      <c r="J220" s="10">
        <v>1.7719999999999999E-3</v>
      </c>
      <c r="K220" s="10">
        <v>5.44E-4</v>
      </c>
      <c r="L220">
        <v>0.27012150000000001</v>
      </c>
      <c r="M220">
        <v>0.16207289999999999</v>
      </c>
    </row>
    <row r="221" spans="1:13" x14ac:dyDescent="0.3">
      <c r="A221" t="s">
        <v>32</v>
      </c>
      <c r="B221" t="s">
        <v>14</v>
      </c>
      <c r="C221" t="s">
        <v>37</v>
      </c>
      <c r="D221" t="s">
        <v>36</v>
      </c>
      <c r="E221">
        <v>2025</v>
      </c>
      <c r="F221">
        <f>F218*1.18</f>
        <v>2.4072E-2</v>
      </c>
      <c r="G221" s="4">
        <f t="shared" si="10"/>
        <v>0.23181336000000002</v>
      </c>
      <c r="H221" s="4">
        <f>0*((0.993)^3)</f>
        <v>0</v>
      </c>
      <c r="I221" s="10">
        <v>1.2720000000000001E-3</v>
      </c>
      <c r="J221" s="10">
        <v>1.7719999999999999E-3</v>
      </c>
      <c r="K221" s="10">
        <v>5.44E-4</v>
      </c>
      <c r="L221">
        <v>0.28976669999999999</v>
      </c>
      <c r="M221">
        <v>0.17386002</v>
      </c>
    </row>
    <row r="222" spans="1:13" x14ac:dyDescent="0.3">
      <c r="A222" t="s">
        <v>32</v>
      </c>
      <c r="B222" t="s">
        <v>14</v>
      </c>
      <c r="C222" t="s">
        <v>37</v>
      </c>
      <c r="D222" t="s">
        <v>11</v>
      </c>
      <c r="E222">
        <v>2025</v>
      </c>
      <c r="F222">
        <f>F218*1.8</f>
        <v>3.6720000000000003E-2</v>
      </c>
      <c r="G222" s="4">
        <f t="shared" si="10"/>
        <v>0.35361360000000003</v>
      </c>
      <c r="H222" s="4">
        <f>0*((0.993)^3)</f>
        <v>0</v>
      </c>
      <c r="I222" s="10">
        <v>1.2720000000000001E-3</v>
      </c>
      <c r="J222" s="10">
        <v>1.7719999999999999E-3</v>
      </c>
      <c r="K222" s="10">
        <v>5.44E-4</v>
      </c>
      <c r="L222">
        <v>0.44201699999999999</v>
      </c>
      <c r="M222">
        <v>0.26521020000000001</v>
      </c>
    </row>
    <row r="223" spans="1:13" x14ac:dyDescent="0.3">
      <c r="A223" t="s">
        <v>32</v>
      </c>
      <c r="B223" t="s">
        <v>14</v>
      </c>
      <c r="C223" t="s">
        <v>37</v>
      </c>
      <c r="D223" t="s">
        <v>12</v>
      </c>
      <c r="E223">
        <v>2025</v>
      </c>
      <c r="F223">
        <f>F218*1.06</f>
        <v>2.1624000000000004E-2</v>
      </c>
      <c r="G223" s="4">
        <f t="shared" si="10"/>
        <v>0.20823912000000006</v>
      </c>
      <c r="H223" s="4">
        <f>(H218*0.2)*((0.993)^3)</f>
        <v>3.4322468697731057</v>
      </c>
      <c r="I223" s="10">
        <v>1.2720000000000001E-3</v>
      </c>
      <c r="J223" s="10">
        <v>1.7719999999999999E-3</v>
      </c>
      <c r="K223" s="10">
        <v>5.44E-4</v>
      </c>
      <c r="L223">
        <v>0.2602989</v>
      </c>
      <c r="M223">
        <v>0.15617934</v>
      </c>
    </row>
    <row r="224" spans="1:13" x14ac:dyDescent="0.3">
      <c r="A224" t="s">
        <v>32</v>
      </c>
      <c r="B224" t="s">
        <v>16</v>
      </c>
      <c r="C224" t="s">
        <v>37</v>
      </c>
      <c r="D224" t="s">
        <v>9</v>
      </c>
      <c r="E224">
        <v>2025</v>
      </c>
      <c r="F224">
        <f>1.2*F225</f>
        <v>2.0400000000000001E-2</v>
      </c>
      <c r="G224" s="4">
        <f t="shared" si="10"/>
        <v>0.19645200000000004</v>
      </c>
      <c r="H224" s="4">
        <f>17.9*((0.993)^3)</f>
        <v>17.526725160299996</v>
      </c>
      <c r="I224" s="10">
        <v>1.2720000000000001E-3</v>
      </c>
      <c r="J224" s="10">
        <v>1.7719999999999999E-3</v>
      </c>
      <c r="K224" s="10">
        <v>5.44E-4</v>
      </c>
      <c r="L224">
        <v>0.19645199999999999</v>
      </c>
      <c r="M224">
        <v>0.19645199999999999</v>
      </c>
    </row>
    <row r="225" spans="1:13" x14ac:dyDescent="0.3">
      <c r="A225" t="s">
        <v>32</v>
      </c>
      <c r="B225" t="s">
        <v>16</v>
      </c>
      <c r="C225" t="s">
        <v>37</v>
      </c>
      <c r="D225" t="s">
        <v>34</v>
      </c>
      <c r="E225">
        <v>2025</v>
      </c>
      <c r="F225">
        <v>1.7000000000000001E-2</v>
      </c>
      <c r="G225" s="4">
        <f t="shared" si="10"/>
        <v>0.16371000000000002</v>
      </c>
      <c r="H225" s="4">
        <f>0*((0.993)^3)</f>
        <v>0</v>
      </c>
      <c r="I225" s="10">
        <v>1.2720000000000001E-3</v>
      </c>
      <c r="J225" s="10">
        <v>1.7719999999999999E-3</v>
      </c>
      <c r="K225" s="10">
        <v>5.44E-4</v>
      </c>
      <c r="L225">
        <v>0.16370999999999999</v>
      </c>
      <c r="M225">
        <v>0.16370999999999999</v>
      </c>
    </row>
    <row r="226" spans="1:13" x14ac:dyDescent="0.3">
      <c r="A226" t="s">
        <v>32</v>
      </c>
      <c r="B226" t="s">
        <v>16</v>
      </c>
      <c r="C226" t="s">
        <v>37</v>
      </c>
      <c r="D226" t="s">
        <v>35</v>
      </c>
      <c r="E226">
        <v>2025</v>
      </c>
      <c r="F226">
        <f>F224*1.1</f>
        <v>2.2440000000000005E-2</v>
      </c>
      <c r="G226" s="4">
        <f t="shared" si="10"/>
        <v>0.21609720000000007</v>
      </c>
      <c r="H226" s="4">
        <f>(H224*0.7)*((0.993)^3)</f>
        <v>12.01286404420587</v>
      </c>
      <c r="I226" s="10">
        <v>1.2720000000000001E-3</v>
      </c>
      <c r="J226" s="10">
        <v>1.7719999999999999E-3</v>
      </c>
      <c r="K226" s="10">
        <v>5.44E-4</v>
      </c>
      <c r="L226">
        <v>0.27012150000000001</v>
      </c>
      <c r="M226">
        <v>0.16207289999999999</v>
      </c>
    </row>
    <row r="227" spans="1:13" x14ac:dyDescent="0.3">
      <c r="A227" t="s">
        <v>32</v>
      </c>
      <c r="B227" t="s">
        <v>16</v>
      </c>
      <c r="C227" t="s">
        <v>37</v>
      </c>
      <c r="D227" t="s">
        <v>36</v>
      </c>
      <c r="E227">
        <v>2025</v>
      </c>
      <c r="F227">
        <f>F224*1.18</f>
        <v>2.4072E-2</v>
      </c>
      <c r="G227" s="4">
        <f t="shared" si="10"/>
        <v>0.23181336000000002</v>
      </c>
      <c r="H227" s="4">
        <f>0*((0.993)^3)</f>
        <v>0</v>
      </c>
      <c r="I227" s="10">
        <v>1.2720000000000001E-3</v>
      </c>
      <c r="J227" s="10">
        <v>1.7719999999999999E-3</v>
      </c>
      <c r="K227" s="10">
        <v>5.44E-4</v>
      </c>
      <c r="L227">
        <v>0.28976669999999999</v>
      </c>
      <c r="M227">
        <v>0.17386002</v>
      </c>
    </row>
    <row r="228" spans="1:13" x14ac:dyDescent="0.3">
      <c r="A228" t="s">
        <v>32</v>
      </c>
      <c r="B228" t="s">
        <v>16</v>
      </c>
      <c r="C228" t="s">
        <v>37</v>
      </c>
      <c r="D228" t="s">
        <v>11</v>
      </c>
      <c r="E228">
        <v>2025</v>
      </c>
      <c r="F228">
        <f>F224*1.8</f>
        <v>3.6720000000000003E-2</v>
      </c>
      <c r="G228" s="4">
        <f t="shared" si="10"/>
        <v>0.35361360000000003</v>
      </c>
      <c r="H228" s="4">
        <f>0*((0.993)^3)</f>
        <v>0</v>
      </c>
      <c r="I228" s="10">
        <v>1.2720000000000001E-3</v>
      </c>
      <c r="J228" s="10">
        <v>1.7719999999999999E-3</v>
      </c>
      <c r="K228" s="10">
        <v>5.44E-4</v>
      </c>
      <c r="L228">
        <v>0.44201699999999999</v>
      </c>
      <c r="M228">
        <v>0.26521020000000001</v>
      </c>
    </row>
    <row r="229" spans="1:13" x14ac:dyDescent="0.3">
      <c r="A229" t="s">
        <v>32</v>
      </c>
      <c r="B229" t="s">
        <v>16</v>
      </c>
      <c r="C229" t="s">
        <v>37</v>
      </c>
      <c r="D229" t="s">
        <v>12</v>
      </c>
      <c r="E229">
        <v>2025</v>
      </c>
      <c r="F229">
        <f>F224*1.06</f>
        <v>2.1624000000000004E-2</v>
      </c>
      <c r="G229" s="4">
        <f t="shared" si="10"/>
        <v>0.20823912000000006</v>
      </c>
      <c r="H229" s="4">
        <f>(H224*0.2)*((0.993)^3)</f>
        <v>3.4322468697731057</v>
      </c>
      <c r="I229" s="10">
        <v>1.2720000000000001E-3</v>
      </c>
      <c r="J229" s="10">
        <v>1.7719999999999999E-3</v>
      </c>
      <c r="K229" s="10">
        <v>5.44E-4</v>
      </c>
      <c r="L229">
        <v>0.2602989</v>
      </c>
      <c r="M229">
        <v>0.15617934</v>
      </c>
    </row>
    <row r="230" spans="1:13" x14ac:dyDescent="0.3">
      <c r="A230" t="s">
        <v>32</v>
      </c>
      <c r="B230" t="s">
        <v>65</v>
      </c>
      <c r="C230" t="s">
        <v>37</v>
      </c>
      <c r="D230" t="s">
        <v>9</v>
      </c>
      <c r="E230">
        <v>2025</v>
      </c>
      <c r="F230">
        <f>1.2*F231</f>
        <v>2.0400000000000001E-2</v>
      </c>
      <c r="G230" s="4">
        <f t="shared" si="10"/>
        <v>0.19645200000000004</v>
      </c>
      <c r="H230" s="4">
        <f>17.9*((0.993)^3)</f>
        <v>17.526725160299996</v>
      </c>
      <c r="I230" s="10">
        <v>1.2720000000000001E-3</v>
      </c>
      <c r="J230" s="10">
        <v>1.7719999999999999E-3</v>
      </c>
      <c r="K230" s="10">
        <v>5.44E-4</v>
      </c>
      <c r="L230">
        <v>0.19645199999999999</v>
      </c>
      <c r="M230">
        <v>0.19645199999999999</v>
      </c>
    </row>
    <row r="231" spans="1:13" x14ac:dyDescent="0.3">
      <c r="A231" t="s">
        <v>32</v>
      </c>
      <c r="B231" t="s">
        <v>65</v>
      </c>
      <c r="C231" t="s">
        <v>37</v>
      </c>
      <c r="D231" t="s">
        <v>34</v>
      </c>
      <c r="E231">
        <v>2025</v>
      </c>
      <c r="F231">
        <v>1.7000000000000001E-2</v>
      </c>
      <c r="G231" s="4">
        <f t="shared" si="10"/>
        <v>0.16371000000000002</v>
      </c>
      <c r="H231" s="4">
        <f>0*((0.993)^3)</f>
        <v>0</v>
      </c>
      <c r="I231" s="10">
        <v>1.2720000000000001E-3</v>
      </c>
      <c r="J231" s="10">
        <v>1.7719999999999999E-3</v>
      </c>
      <c r="K231" s="10">
        <v>5.44E-4</v>
      </c>
      <c r="L231">
        <v>0.16370999999999999</v>
      </c>
      <c r="M231">
        <v>0.16370999999999999</v>
      </c>
    </row>
    <row r="232" spans="1:13" x14ac:dyDescent="0.3">
      <c r="A232" t="s">
        <v>32</v>
      </c>
      <c r="B232" t="s">
        <v>65</v>
      </c>
      <c r="C232" t="s">
        <v>37</v>
      </c>
      <c r="D232" t="s">
        <v>35</v>
      </c>
      <c r="E232">
        <v>2025</v>
      </c>
      <c r="F232">
        <f>F230*1.1</f>
        <v>2.2440000000000005E-2</v>
      </c>
      <c r="G232" s="4">
        <f t="shared" si="10"/>
        <v>0.21609720000000007</v>
      </c>
      <c r="H232" s="4">
        <f>(H230*0.7)*((0.993)^3)</f>
        <v>12.01286404420587</v>
      </c>
      <c r="I232" s="10">
        <v>1.2720000000000001E-3</v>
      </c>
      <c r="J232" s="10">
        <v>1.7719999999999999E-3</v>
      </c>
      <c r="K232" s="10">
        <v>5.44E-4</v>
      </c>
      <c r="L232">
        <v>0.27012150000000001</v>
      </c>
      <c r="M232">
        <v>0.16207289999999999</v>
      </c>
    </row>
    <row r="233" spans="1:13" x14ac:dyDescent="0.3">
      <c r="A233" t="s">
        <v>32</v>
      </c>
      <c r="B233" t="s">
        <v>65</v>
      </c>
      <c r="C233" t="s">
        <v>37</v>
      </c>
      <c r="D233" t="s">
        <v>36</v>
      </c>
      <c r="E233">
        <v>2025</v>
      </c>
      <c r="F233">
        <f>F230*1.18</f>
        <v>2.4072E-2</v>
      </c>
      <c r="G233" s="4">
        <f t="shared" si="10"/>
        <v>0.23181336000000002</v>
      </c>
      <c r="H233" s="4">
        <f>0*((0.993)^3)</f>
        <v>0</v>
      </c>
      <c r="I233" s="10">
        <v>1.2720000000000001E-3</v>
      </c>
      <c r="J233" s="10">
        <v>1.7719999999999999E-3</v>
      </c>
      <c r="K233" s="10">
        <v>5.44E-4</v>
      </c>
      <c r="L233">
        <v>0.28976669999999999</v>
      </c>
      <c r="M233">
        <v>0.17386002</v>
      </c>
    </row>
    <row r="234" spans="1:13" x14ac:dyDescent="0.3">
      <c r="A234" t="s">
        <v>32</v>
      </c>
      <c r="B234" t="s">
        <v>65</v>
      </c>
      <c r="C234" t="s">
        <v>37</v>
      </c>
      <c r="D234" t="s">
        <v>11</v>
      </c>
      <c r="E234">
        <v>2025</v>
      </c>
      <c r="F234">
        <f>F230*1.8</f>
        <v>3.6720000000000003E-2</v>
      </c>
      <c r="G234" s="4">
        <f t="shared" si="10"/>
        <v>0.35361360000000003</v>
      </c>
      <c r="H234" s="4">
        <f>0*((0.993)^3)</f>
        <v>0</v>
      </c>
      <c r="I234" s="10">
        <v>1.2720000000000001E-3</v>
      </c>
      <c r="J234" s="10">
        <v>1.7719999999999999E-3</v>
      </c>
      <c r="K234" s="10">
        <v>5.44E-4</v>
      </c>
      <c r="L234">
        <v>0.44201699999999999</v>
      </c>
      <c r="M234">
        <v>0.26521020000000001</v>
      </c>
    </row>
    <row r="235" spans="1:13" x14ac:dyDescent="0.3">
      <c r="A235" t="s">
        <v>32</v>
      </c>
      <c r="B235" t="s">
        <v>65</v>
      </c>
      <c r="C235" t="s">
        <v>37</v>
      </c>
      <c r="D235" t="s">
        <v>12</v>
      </c>
      <c r="E235">
        <v>2025</v>
      </c>
      <c r="F235">
        <f>F230*1.06</f>
        <v>2.1624000000000004E-2</v>
      </c>
      <c r="G235" s="4">
        <f t="shared" si="10"/>
        <v>0.20823912000000006</v>
      </c>
      <c r="H235" s="4">
        <f>(H230*0.2)*((0.993)^3)</f>
        <v>3.4322468697731057</v>
      </c>
      <c r="I235" s="10">
        <v>1.2720000000000001E-3</v>
      </c>
      <c r="J235" s="10">
        <v>1.7719999999999999E-3</v>
      </c>
      <c r="K235" s="10">
        <v>5.44E-4</v>
      </c>
      <c r="L235">
        <v>0.2602989</v>
      </c>
      <c r="M235">
        <v>0.15617934</v>
      </c>
    </row>
    <row r="236" spans="1:13" x14ac:dyDescent="0.3">
      <c r="A236" t="s">
        <v>32</v>
      </c>
      <c r="B236" t="s">
        <v>18</v>
      </c>
      <c r="C236" t="s">
        <v>37</v>
      </c>
      <c r="D236" t="s">
        <v>9</v>
      </c>
      <c r="E236">
        <v>2025</v>
      </c>
      <c r="F236">
        <f>1.2*F237</f>
        <v>2.0400000000000001E-2</v>
      </c>
      <c r="G236" s="4">
        <f t="shared" si="10"/>
        <v>0.19645200000000004</v>
      </c>
      <c r="H236" s="4">
        <f>17.9*((0.993)^3)</f>
        <v>17.526725160299996</v>
      </c>
      <c r="I236" s="10">
        <v>1.2720000000000001E-3</v>
      </c>
      <c r="J236" s="10">
        <v>1.7719999999999999E-3</v>
      </c>
      <c r="K236" s="10">
        <v>5.44E-4</v>
      </c>
      <c r="L236">
        <v>0.19645199999999999</v>
      </c>
      <c r="M236">
        <v>0.19645199999999999</v>
      </c>
    </row>
    <row r="237" spans="1:13" x14ac:dyDescent="0.3">
      <c r="A237" t="s">
        <v>32</v>
      </c>
      <c r="B237" t="s">
        <v>18</v>
      </c>
      <c r="C237" t="s">
        <v>37</v>
      </c>
      <c r="D237" t="s">
        <v>34</v>
      </c>
      <c r="E237">
        <v>2025</v>
      </c>
      <c r="F237">
        <v>1.7000000000000001E-2</v>
      </c>
      <c r="G237" s="4">
        <f t="shared" si="10"/>
        <v>0.16371000000000002</v>
      </c>
      <c r="H237" s="4">
        <f>0*((0.993)^3)</f>
        <v>0</v>
      </c>
      <c r="I237" s="10">
        <v>1.2720000000000001E-3</v>
      </c>
      <c r="J237" s="10">
        <v>1.7719999999999999E-3</v>
      </c>
      <c r="K237" s="10">
        <v>5.44E-4</v>
      </c>
      <c r="L237">
        <v>0.16370999999999999</v>
      </c>
      <c r="M237">
        <v>0.16370999999999999</v>
      </c>
    </row>
    <row r="238" spans="1:13" x14ac:dyDescent="0.3">
      <c r="A238" t="s">
        <v>32</v>
      </c>
      <c r="B238" t="s">
        <v>18</v>
      </c>
      <c r="C238" t="s">
        <v>37</v>
      </c>
      <c r="D238" t="s">
        <v>35</v>
      </c>
      <c r="E238">
        <v>2025</v>
      </c>
      <c r="F238">
        <f>F236*1.1</f>
        <v>2.2440000000000005E-2</v>
      </c>
      <c r="G238" s="4">
        <f t="shared" si="10"/>
        <v>0.21609720000000007</v>
      </c>
      <c r="H238" s="4">
        <f>(H236*0.7)*((0.993)^3)</f>
        <v>12.01286404420587</v>
      </c>
      <c r="I238" s="10">
        <v>1.2720000000000001E-3</v>
      </c>
      <c r="J238" s="10">
        <v>1.7719999999999999E-3</v>
      </c>
      <c r="K238" s="10">
        <v>5.44E-4</v>
      </c>
      <c r="L238">
        <v>0.27012150000000001</v>
      </c>
      <c r="M238">
        <v>0.16207289999999999</v>
      </c>
    </row>
    <row r="239" spans="1:13" x14ac:dyDescent="0.3">
      <c r="A239" t="s">
        <v>32</v>
      </c>
      <c r="B239" t="s">
        <v>18</v>
      </c>
      <c r="C239" t="s">
        <v>37</v>
      </c>
      <c r="D239" t="s">
        <v>36</v>
      </c>
      <c r="E239">
        <v>2025</v>
      </c>
      <c r="F239">
        <f>F236*1.18</f>
        <v>2.4072E-2</v>
      </c>
      <c r="G239" s="4">
        <f t="shared" si="10"/>
        <v>0.23181336000000002</v>
      </c>
      <c r="H239" s="4">
        <f>0*((0.993)^3)</f>
        <v>0</v>
      </c>
      <c r="I239" s="10">
        <v>1.2720000000000001E-3</v>
      </c>
      <c r="J239" s="10">
        <v>1.7719999999999999E-3</v>
      </c>
      <c r="K239" s="10">
        <v>5.44E-4</v>
      </c>
      <c r="L239">
        <v>0.28976669999999999</v>
      </c>
      <c r="M239">
        <v>0.17386002</v>
      </c>
    </row>
    <row r="240" spans="1:13" x14ac:dyDescent="0.3">
      <c r="A240" t="s">
        <v>32</v>
      </c>
      <c r="B240" t="s">
        <v>18</v>
      </c>
      <c r="C240" t="s">
        <v>37</v>
      </c>
      <c r="D240" t="s">
        <v>11</v>
      </c>
      <c r="E240">
        <v>2025</v>
      </c>
      <c r="F240">
        <f>F236*1.8</f>
        <v>3.6720000000000003E-2</v>
      </c>
      <c r="G240" s="4">
        <f t="shared" si="10"/>
        <v>0.35361360000000003</v>
      </c>
      <c r="H240" s="4">
        <f>0*((0.993)^3)</f>
        <v>0</v>
      </c>
      <c r="I240" s="10">
        <v>1.2720000000000001E-3</v>
      </c>
      <c r="J240" s="10">
        <v>1.7719999999999999E-3</v>
      </c>
      <c r="K240" s="10">
        <v>5.44E-4</v>
      </c>
      <c r="L240">
        <v>0.44201699999999999</v>
      </c>
      <c r="M240">
        <v>0.26521020000000001</v>
      </c>
    </row>
    <row r="241" spans="1:13" x14ac:dyDescent="0.3">
      <c r="A241" t="s">
        <v>32</v>
      </c>
      <c r="B241" t="s">
        <v>18</v>
      </c>
      <c r="C241" t="s">
        <v>37</v>
      </c>
      <c r="D241" t="s">
        <v>12</v>
      </c>
      <c r="E241">
        <v>2025</v>
      </c>
      <c r="F241">
        <f>F236*1.06</f>
        <v>2.1624000000000004E-2</v>
      </c>
      <c r="G241" s="4">
        <f t="shared" si="10"/>
        <v>0.20823912000000006</v>
      </c>
      <c r="H241" s="4">
        <f>(H236*0.2)*((0.993)^3)</f>
        <v>3.4322468697731057</v>
      </c>
      <c r="I241" s="10">
        <v>1.2720000000000001E-3</v>
      </c>
      <c r="J241" s="10">
        <v>1.7719999999999999E-3</v>
      </c>
      <c r="K241" s="10">
        <v>5.44E-4</v>
      </c>
      <c r="L241">
        <v>0.2602989</v>
      </c>
      <c r="M241">
        <v>0.15617934</v>
      </c>
    </row>
    <row r="242" spans="1:13" x14ac:dyDescent="0.3">
      <c r="A242" t="s">
        <v>32</v>
      </c>
      <c r="B242" t="s">
        <v>20</v>
      </c>
      <c r="C242" t="s">
        <v>38</v>
      </c>
      <c r="D242" t="s">
        <v>9</v>
      </c>
      <c r="E242">
        <v>2025</v>
      </c>
      <c r="F242">
        <f>1.2*F243</f>
        <v>2.0400000000000001E-2</v>
      </c>
      <c r="G242" s="4">
        <f t="shared" si="10"/>
        <v>0.19645200000000004</v>
      </c>
      <c r="H242" s="4">
        <f>30.8*((0.993)^3)</f>
        <v>30.157717035599998</v>
      </c>
      <c r="I242" s="10">
        <v>1.2720000000000001E-3</v>
      </c>
      <c r="J242" s="10">
        <v>1.7719999999999999E-3</v>
      </c>
      <c r="K242" s="10">
        <v>5.44E-4</v>
      </c>
      <c r="L242">
        <v>0.19645199999999999</v>
      </c>
      <c r="M242">
        <v>0.19645199999999999</v>
      </c>
    </row>
    <row r="243" spans="1:13" x14ac:dyDescent="0.3">
      <c r="A243" t="s">
        <v>32</v>
      </c>
      <c r="B243" t="s">
        <v>20</v>
      </c>
      <c r="C243" t="s">
        <v>38</v>
      </c>
      <c r="D243" t="s">
        <v>34</v>
      </c>
      <c r="E243">
        <v>2025</v>
      </c>
      <c r="F243">
        <v>1.7000000000000001E-2</v>
      </c>
      <c r="G243" s="4">
        <f t="shared" si="10"/>
        <v>0.16371000000000002</v>
      </c>
      <c r="H243" s="4">
        <f>0*((0.993)^3)</f>
        <v>0</v>
      </c>
      <c r="I243" s="10">
        <v>1.2720000000000001E-3</v>
      </c>
      <c r="J243" s="10">
        <v>1.7719999999999999E-3</v>
      </c>
      <c r="K243" s="10">
        <v>5.44E-4</v>
      </c>
      <c r="L243">
        <v>0.16370999999999999</v>
      </c>
      <c r="M243">
        <v>0.16370999999999999</v>
      </c>
    </row>
    <row r="244" spans="1:13" x14ac:dyDescent="0.3">
      <c r="A244" t="s">
        <v>32</v>
      </c>
      <c r="B244" t="s">
        <v>20</v>
      </c>
      <c r="C244" t="s">
        <v>38</v>
      </c>
      <c r="D244" t="s">
        <v>35</v>
      </c>
      <c r="E244">
        <v>2025</v>
      </c>
      <c r="F244">
        <f>F242*1.1</f>
        <v>2.2440000000000005E-2</v>
      </c>
      <c r="G244" s="4">
        <f t="shared" si="10"/>
        <v>0.21609720000000007</v>
      </c>
      <c r="H244" s="4">
        <f>(H242*0.7)*((0.993)^3)</f>
        <v>20.67017947271178</v>
      </c>
      <c r="I244" s="10">
        <v>1.2720000000000001E-3</v>
      </c>
      <c r="J244" s="10">
        <v>1.7719999999999999E-3</v>
      </c>
      <c r="K244" s="10">
        <v>5.44E-4</v>
      </c>
      <c r="L244">
        <v>0.27012150000000001</v>
      </c>
      <c r="M244">
        <v>0.16207289999999999</v>
      </c>
    </row>
    <row r="245" spans="1:13" x14ac:dyDescent="0.3">
      <c r="A245" t="s">
        <v>32</v>
      </c>
      <c r="B245" t="s">
        <v>20</v>
      </c>
      <c r="C245" t="s">
        <v>38</v>
      </c>
      <c r="D245" t="s">
        <v>36</v>
      </c>
      <c r="E245">
        <v>2025</v>
      </c>
      <c r="F245">
        <f>F242*1.18</f>
        <v>2.4072E-2</v>
      </c>
      <c r="G245" s="4">
        <f t="shared" si="10"/>
        <v>0.23181336000000002</v>
      </c>
      <c r="H245" s="4">
        <f>0*((0.993)^3)</f>
        <v>0</v>
      </c>
      <c r="I245" s="10">
        <v>1.2720000000000001E-3</v>
      </c>
      <c r="J245" s="10">
        <v>1.7719999999999999E-3</v>
      </c>
      <c r="K245" s="10">
        <v>5.44E-4</v>
      </c>
      <c r="L245">
        <v>0.28976669999999999</v>
      </c>
      <c r="M245">
        <v>0.17386002</v>
      </c>
    </row>
    <row r="246" spans="1:13" x14ac:dyDescent="0.3">
      <c r="A246" t="s">
        <v>32</v>
      </c>
      <c r="B246" t="s">
        <v>20</v>
      </c>
      <c r="C246" t="s">
        <v>38</v>
      </c>
      <c r="D246" t="s">
        <v>11</v>
      </c>
      <c r="E246">
        <v>2025</v>
      </c>
      <c r="F246">
        <f>F242*1.8</f>
        <v>3.6720000000000003E-2</v>
      </c>
      <c r="G246" s="4">
        <f t="shared" si="10"/>
        <v>0.35361360000000003</v>
      </c>
      <c r="H246" s="4">
        <f>0*((0.993)^3)</f>
        <v>0</v>
      </c>
      <c r="I246" s="10">
        <v>1.2720000000000001E-3</v>
      </c>
      <c r="J246" s="10">
        <v>1.7719999999999999E-3</v>
      </c>
      <c r="K246" s="10">
        <v>5.44E-4</v>
      </c>
      <c r="L246">
        <v>0.44201699999999999</v>
      </c>
      <c r="M246">
        <v>0.26521020000000001</v>
      </c>
    </row>
    <row r="247" spans="1:13" x14ac:dyDescent="0.3">
      <c r="A247" t="s">
        <v>32</v>
      </c>
      <c r="B247" t="s">
        <v>20</v>
      </c>
      <c r="C247" t="s">
        <v>38</v>
      </c>
      <c r="D247" t="s">
        <v>12</v>
      </c>
      <c r="E247">
        <v>2025</v>
      </c>
      <c r="F247">
        <f>F242*1.06</f>
        <v>2.1624000000000004E-2</v>
      </c>
      <c r="G247" s="4">
        <f t="shared" si="10"/>
        <v>0.20823912000000006</v>
      </c>
      <c r="H247" s="4">
        <f>(H242*0.3)*((0.993)^3)</f>
        <v>8.8586483454479055</v>
      </c>
      <c r="I247" s="10">
        <v>1.2720000000000001E-3</v>
      </c>
      <c r="J247" s="10">
        <v>1.7719999999999999E-3</v>
      </c>
      <c r="K247" s="10">
        <v>5.44E-4</v>
      </c>
      <c r="L247">
        <v>0.2602989</v>
      </c>
      <c r="M247">
        <v>0.15617934</v>
      </c>
    </row>
    <row r="248" spans="1:13" x14ac:dyDescent="0.3">
      <c r="A248" t="s">
        <v>32</v>
      </c>
      <c r="B248" t="s">
        <v>22</v>
      </c>
      <c r="C248" t="s">
        <v>39</v>
      </c>
      <c r="D248" t="s">
        <v>9</v>
      </c>
      <c r="E248">
        <v>2025</v>
      </c>
      <c r="F248">
        <f>1.2*F249</f>
        <v>1.7999999999999999E-2</v>
      </c>
      <c r="G248" s="4">
        <f t="shared" si="10"/>
        <v>0.17333999999999999</v>
      </c>
      <c r="H248" s="4">
        <f>25.5*((0.993)^3)</f>
        <v>24.968239753499997</v>
      </c>
      <c r="I248" s="10">
        <v>1.2720000000000001E-3</v>
      </c>
      <c r="J248" s="10">
        <v>1.7719999999999999E-3</v>
      </c>
      <c r="K248" s="10">
        <v>5.44E-4</v>
      </c>
      <c r="L248">
        <v>0.17333999999999999</v>
      </c>
      <c r="M248">
        <v>0.17333999999999999</v>
      </c>
    </row>
    <row r="249" spans="1:13" x14ac:dyDescent="0.3">
      <c r="A249" t="s">
        <v>32</v>
      </c>
      <c r="B249" t="s">
        <v>22</v>
      </c>
      <c r="C249" t="s">
        <v>39</v>
      </c>
      <c r="D249" t="s">
        <v>34</v>
      </c>
      <c r="E249">
        <v>2025</v>
      </c>
      <c r="F249">
        <v>1.4999999999999999E-2</v>
      </c>
      <c r="G249" s="4">
        <f t="shared" si="10"/>
        <v>0.14445</v>
      </c>
      <c r="H249" s="4">
        <f>0*((0.993)^3)</f>
        <v>0</v>
      </c>
      <c r="I249" s="10">
        <v>1.2720000000000001E-3</v>
      </c>
      <c r="J249" s="10">
        <v>1.7719999999999999E-3</v>
      </c>
      <c r="K249" s="10">
        <v>5.44E-4</v>
      </c>
      <c r="L249">
        <v>0.14445</v>
      </c>
      <c r="M249">
        <v>0.14445</v>
      </c>
    </row>
    <row r="250" spans="1:13" x14ac:dyDescent="0.3">
      <c r="A250" t="s">
        <v>32</v>
      </c>
      <c r="B250" t="s">
        <v>22</v>
      </c>
      <c r="C250" t="s">
        <v>39</v>
      </c>
      <c r="D250" t="s">
        <v>35</v>
      </c>
      <c r="E250">
        <v>2025</v>
      </c>
      <c r="F250">
        <f>F248*1.1</f>
        <v>1.9800000000000002E-2</v>
      </c>
      <c r="G250" s="4">
        <f t="shared" si="10"/>
        <v>0.19067400000000004</v>
      </c>
      <c r="H250" s="4">
        <f>(H248*0.7)*((0.993)^3)</f>
        <v>17.113297940069817</v>
      </c>
      <c r="I250" s="10">
        <v>1.2720000000000001E-3</v>
      </c>
      <c r="J250" s="10">
        <v>1.7719999999999999E-3</v>
      </c>
      <c r="K250" s="10">
        <v>5.44E-4</v>
      </c>
      <c r="L250">
        <v>0.23834250000000001</v>
      </c>
      <c r="M250">
        <v>0.14300550000000001</v>
      </c>
    </row>
    <row r="251" spans="1:13" x14ac:dyDescent="0.3">
      <c r="A251" t="s">
        <v>32</v>
      </c>
      <c r="B251" t="s">
        <v>22</v>
      </c>
      <c r="C251" t="s">
        <v>39</v>
      </c>
      <c r="D251" t="s">
        <v>36</v>
      </c>
      <c r="E251">
        <v>2025</v>
      </c>
      <c r="F251">
        <f>F248*1.18</f>
        <v>2.1239999999999998E-2</v>
      </c>
      <c r="G251" s="4">
        <f t="shared" si="10"/>
        <v>0.20454120000000001</v>
      </c>
      <c r="H251" s="4">
        <f>0*((0.993)^3)</f>
        <v>0</v>
      </c>
      <c r="I251" s="10">
        <v>1.2720000000000001E-3</v>
      </c>
      <c r="J251" s="10">
        <v>1.7719999999999999E-3</v>
      </c>
      <c r="K251" s="10">
        <v>5.44E-4</v>
      </c>
      <c r="L251">
        <v>0.25567649999999997</v>
      </c>
      <c r="M251">
        <v>0.15340590000000001</v>
      </c>
    </row>
    <row r="252" spans="1:13" x14ac:dyDescent="0.3">
      <c r="A252" t="s">
        <v>32</v>
      </c>
      <c r="B252" t="s">
        <v>22</v>
      </c>
      <c r="C252" t="s">
        <v>39</v>
      </c>
      <c r="D252" t="s">
        <v>11</v>
      </c>
      <c r="E252">
        <v>2025</v>
      </c>
      <c r="F252">
        <f>F248*1.8</f>
        <v>3.2399999999999998E-2</v>
      </c>
      <c r="G252" s="4">
        <f t="shared" si="10"/>
        <v>0.31201200000000001</v>
      </c>
      <c r="H252" s="4">
        <f>0*((0.993)^3)</f>
        <v>0</v>
      </c>
      <c r="I252" s="10">
        <v>1.2720000000000001E-3</v>
      </c>
      <c r="J252" s="10">
        <v>1.7719999999999999E-3</v>
      </c>
      <c r="K252" s="10">
        <v>5.44E-4</v>
      </c>
      <c r="L252">
        <v>0.390015</v>
      </c>
      <c r="M252">
        <v>0.23400899999999999</v>
      </c>
    </row>
    <row r="253" spans="1:13" x14ac:dyDescent="0.3">
      <c r="A253" t="s">
        <v>32</v>
      </c>
      <c r="B253" t="s">
        <v>22</v>
      </c>
      <c r="C253" t="s">
        <v>39</v>
      </c>
      <c r="D253" t="s">
        <v>12</v>
      </c>
      <c r="E253">
        <v>2025</v>
      </c>
      <c r="F253">
        <f>F248*1.06</f>
        <v>1.908E-2</v>
      </c>
      <c r="G253" s="4">
        <f t="shared" si="10"/>
        <v>0.18374040000000003</v>
      </c>
      <c r="H253" s="4">
        <f>(H248*0.2)*((0.993)^3)</f>
        <v>4.8895136971628048</v>
      </c>
      <c r="I253" s="10">
        <v>1.2720000000000001E-3</v>
      </c>
      <c r="J253" s="10">
        <v>1.7719999999999999E-3</v>
      </c>
      <c r="K253" s="10">
        <v>5.44E-4</v>
      </c>
      <c r="L253">
        <v>0.2296755</v>
      </c>
      <c r="M253">
        <v>0.13780529999999999</v>
      </c>
    </row>
    <row r="254" spans="1:13" x14ac:dyDescent="0.3">
      <c r="A254" t="s">
        <v>6</v>
      </c>
      <c r="B254" t="s">
        <v>7</v>
      </c>
      <c r="C254" t="s">
        <v>8</v>
      </c>
      <c r="D254" t="s">
        <v>9</v>
      </c>
      <c r="E254">
        <v>2030</v>
      </c>
      <c r="F254">
        <f>1.258/18.4</f>
        <v>6.8369565217391307E-2</v>
      </c>
      <c r="G254" s="2">
        <f t="shared" si="10"/>
        <v>0.65839891304347831</v>
      </c>
      <c r="H254" s="2">
        <f>(1274/18.4)*((0.993)^8)</f>
        <v>65.45541684425487</v>
      </c>
      <c r="I254" s="8">
        <v>2E-3</v>
      </c>
      <c r="J254" s="8">
        <v>3.0000000000000001E-3</v>
      </c>
      <c r="K254" s="8">
        <v>5.44E-4</v>
      </c>
      <c r="L254">
        <v>0.65839891299999997</v>
      </c>
      <c r="M254">
        <v>0.65839891299999997</v>
      </c>
    </row>
    <row r="255" spans="1:13" x14ac:dyDescent="0.3">
      <c r="A255" t="s">
        <v>6</v>
      </c>
      <c r="B255" t="s">
        <v>7</v>
      </c>
      <c r="C255" t="s">
        <v>8</v>
      </c>
      <c r="D255" t="s">
        <v>10</v>
      </c>
      <c r="E255">
        <v>2030</v>
      </c>
      <c r="G255" s="2">
        <f>G254*0.91</f>
        <v>0.59914301086956523</v>
      </c>
      <c r="H255" s="2">
        <f>0*((0.993)^8)</f>
        <v>0</v>
      </c>
      <c r="I255" s="8">
        <v>2E-3</v>
      </c>
      <c r="J255" s="8">
        <v>3.0000000000000001E-3</v>
      </c>
      <c r="K255" s="8">
        <v>5.44E-4</v>
      </c>
      <c r="L255">
        <v>0.74892876360000005</v>
      </c>
      <c r="M255">
        <v>0.4493572582</v>
      </c>
    </row>
    <row r="256" spans="1:13" x14ac:dyDescent="0.3">
      <c r="A256" t="s">
        <v>6</v>
      </c>
      <c r="B256" t="s">
        <v>7</v>
      </c>
      <c r="C256" t="s">
        <v>8</v>
      </c>
      <c r="D256" t="s">
        <v>11</v>
      </c>
      <c r="E256">
        <v>2030</v>
      </c>
      <c r="F256">
        <f>1.5932/18.4</f>
        <v>8.6586956521739131E-2</v>
      </c>
      <c r="G256" s="2">
        <f t="shared" si="10"/>
        <v>0.83383239130434794</v>
      </c>
      <c r="H256" s="2">
        <f>0*((0.993)^8)</f>
        <v>0</v>
      </c>
      <c r="I256" s="8">
        <v>2E-3</v>
      </c>
      <c r="J256" s="8">
        <v>3.0000000000000001E-3</v>
      </c>
      <c r="K256" s="8">
        <v>5.44E-4</v>
      </c>
      <c r="L256">
        <v>1.042290489</v>
      </c>
      <c r="M256">
        <v>0.62537429349999996</v>
      </c>
    </row>
    <row r="257" spans="1:13" x14ac:dyDescent="0.3">
      <c r="A257" t="s">
        <v>6</v>
      </c>
      <c r="B257" t="s">
        <v>7</v>
      </c>
      <c r="C257" t="s">
        <v>8</v>
      </c>
      <c r="D257" t="s">
        <v>12</v>
      </c>
      <c r="E257">
        <v>2030</v>
      </c>
      <c r="G257" s="2">
        <f>G254*1.13</f>
        <v>0.74399077173913042</v>
      </c>
      <c r="H257" s="2">
        <f>(((127+217)/2)/18.4)*((0.993)^8)</f>
        <v>8.8369950527565457</v>
      </c>
      <c r="I257" s="8">
        <v>2E-3</v>
      </c>
      <c r="J257" s="8">
        <v>3.0000000000000001E-3</v>
      </c>
      <c r="K257" s="8">
        <v>5.44E-4</v>
      </c>
      <c r="L257">
        <v>0.92998846469999996</v>
      </c>
      <c r="M257">
        <v>0.55799307880000004</v>
      </c>
    </row>
    <row r="258" spans="1:13" x14ac:dyDescent="0.3">
      <c r="A258" t="s">
        <v>6</v>
      </c>
      <c r="B258" t="s">
        <v>7</v>
      </c>
      <c r="C258" t="s">
        <v>8</v>
      </c>
      <c r="D258" t="s">
        <v>13</v>
      </c>
      <c r="E258">
        <v>2030</v>
      </c>
      <c r="G258" s="2">
        <f>G254*1.12</f>
        <v>0.73740678260869574</v>
      </c>
      <c r="H258" s="2">
        <f>(156/18.4)*((0.993)^8)</f>
        <v>8.0149490013373317</v>
      </c>
      <c r="I258" s="8">
        <v>2E-3</v>
      </c>
      <c r="J258" s="8">
        <v>3.0000000000000001E-3</v>
      </c>
      <c r="K258" s="8">
        <v>5.44E-4</v>
      </c>
      <c r="L258">
        <v>0.92175847830000002</v>
      </c>
      <c r="M258">
        <v>0.55305508699999995</v>
      </c>
    </row>
    <row r="259" spans="1:13" x14ac:dyDescent="0.3">
      <c r="A259" t="s">
        <v>6</v>
      </c>
      <c r="B259" t="s">
        <v>14</v>
      </c>
      <c r="C259" t="s">
        <v>15</v>
      </c>
      <c r="D259" t="s">
        <v>9</v>
      </c>
      <c r="E259">
        <v>2030</v>
      </c>
      <c r="F259">
        <f>1.258/33</f>
        <v>3.8121212121212118E-2</v>
      </c>
      <c r="G259" s="2">
        <f t="shared" si="10"/>
        <v>0.36710727272727273</v>
      </c>
      <c r="H259" s="2">
        <f>(1274/33)*((0.993)^8)</f>
        <v>36.496353634372412</v>
      </c>
      <c r="I259" s="8">
        <v>2E-3</v>
      </c>
      <c r="J259" s="8">
        <v>3.0000000000000001E-3</v>
      </c>
      <c r="K259" s="8">
        <v>5.44E-4</v>
      </c>
      <c r="L259">
        <v>0.36710727269999999</v>
      </c>
      <c r="M259">
        <v>0.36710727269999999</v>
      </c>
    </row>
    <row r="260" spans="1:13" x14ac:dyDescent="0.3">
      <c r="A260" t="s">
        <v>6</v>
      </c>
      <c r="B260" t="s">
        <v>14</v>
      </c>
      <c r="C260" t="s">
        <v>15</v>
      </c>
      <c r="D260" t="s">
        <v>10</v>
      </c>
      <c r="E260">
        <v>2030</v>
      </c>
      <c r="G260" s="2">
        <f>G259*0.91</f>
        <v>0.33406761818181818</v>
      </c>
      <c r="H260" s="2">
        <f>0*((0.993)^8)</f>
        <v>0</v>
      </c>
      <c r="I260" s="8">
        <v>2E-3</v>
      </c>
      <c r="J260" s="8">
        <v>3.0000000000000001E-3</v>
      </c>
      <c r="K260" s="8">
        <v>5.44E-4</v>
      </c>
      <c r="L260">
        <v>0.41758452270000002</v>
      </c>
      <c r="M260">
        <v>0.25055071359999997</v>
      </c>
    </row>
    <row r="261" spans="1:13" x14ac:dyDescent="0.3">
      <c r="A261" t="s">
        <v>6</v>
      </c>
      <c r="B261" t="s">
        <v>14</v>
      </c>
      <c r="C261" t="s">
        <v>15</v>
      </c>
      <c r="D261" t="s">
        <v>11</v>
      </c>
      <c r="E261">
        <v>2030</v>
      </c>
      <c r="F261">
        <f>1.5932/33</f>
        <v>4.8278787878787879E-2</v>
      </c>
      <c r="G261" s="2">
        <f t="shared" si="10"/>
        <v>0.46492472727272732</v>
      </c>
      <c r="H261" s="2">
        <f>0*((0.993)^8)</f>
        <v>0</v>
      </c>
      <c r="I261" s="8">
        <v>2E-3</v>
      </c>
      <c r="J261" s="8">
        <v>3.0000000000000001E-3</v>
      </c>
      <c r="K261" s="8">
        <v>5.44E-4</v>
      </c>
      <c r="L261">
        <v>0.58115590910000003</v>
      </c>
      <c r="M261">
        <v>0.34869354549999998</v>
      </c>
    </row>
    <row r="262" spans="1:13" x14ac:dyDescent="0.3">
      <c r="A262" t="s">
        <v>6</v>
      </c>
      <c r="B262" t="s">
        <v>14</v>
      </c>
      <c r="C262" t="s">
        <v>15</v>
      </c>
      <c r="D262" t="s">
        <v>12</v>
      </c>
      <c r="E262">
        <v>2030</v>
      </c>
      <c r="G262" s="2">
        <f>G259*1.13</f>
        <v>0.41483121818181812</v>
      </c>
      <c r="H262" s="2">
        <f>(((127+217)/2)/33)*((0.993)^8)</f>
        <v>4.9272942112339519</v>
      </c>
      <c r="I262" s="8">
        <v>2E-3</v>
      </c>
      <c r="J262" s="8">
        <v>3.0000000000000001E-3</v>
      </c>
      <c r="K262" s="8">
        <v>5.44E-4</v>
      </c>
      <c r="L262">
        <v>0.51853902269999996</v>
      </c>
      <c r="M262">
        <v>0.31112341360000001</v>
      </c>
    </row>
    <row r="263" spans="1:13" x14ac:dyDescent="0.3">
      <c r="A263" t="s">
        <v>6</v>
      </c>
      <c r="B263" t="s">
        <v>14</v>
      </c>
      <c r="C263" t="s">
        <v>15</v>
      </c>
      <c r="D263" t="s">
        <v>13</v>
      </c>
      <c r="E263">
        <v>2030</v>
      </c>
      <c r="G263" s="2">
        <f>G259*1.12</f>
        <v>0.41116014545454549</v>
      </c>
      <c r="H263" s="2">
        <f>(156/33)*((0.993)^8)</f>
        <v>4.4689412613517234</v>
      </c>
      <c r="I263" s="8">
        <v>2E-3</v>
      </c>
      <c r="J263" s="8">
        <v>3.0000000000000001E-3</v>
      </c>
      <c r="K263" s="8">
        <v>5.44E-4</v>
      </c>
      <c r="L263">
        <v>0.51395018179999996</v>
      </c>
      <c r="M263">
        <v>0.30837010910000001</v>
      </c>
    </row>
    <row r="264" spans="1:13" x14ac:dyDescent="0.3">
      <c r="A264" t="s">
        <v>6</v>
      </c>
      <c r="B264" t="s">
        <v>16</v>
      </c>
      <c r="C264" t="s">
        <v>17</v>
      </c>
      <c r="D264" t="s">
        <v>9</v>
      </c>
      <c r="E264">
        <v>2030</v>
      </c>
      <c r="F264">
        <f>1.258/33</f>
        <v>3.8121212121212118E-2</v>
      </c>
      <c r="G264" s="2">
        <f t="shared" si="10"/>
        <v>0.36710727272727273</v>
      </c>
      <c r="H264" s="2">
        <f>(1274/33)*((0.993)^8)</f>
        <v>36.496353634372412</v>
      </c>
      <c r="I264" s="8">
        <v>2E-3</v>
      </c>
      <c r="J264" s="8">
        <v>3.0000000000000001E-3</v>
      </c>
      <c r="K264" s="8">
        <v>5.44E-4</v>
      </c>
      <c r="L264">
        <v>0.36710727269999999</v>
      </c>
      <c r="M264">
        <v>0.36710727269999999</v>
      </c>
    </row>
    <row r="265" spans="1:13" x14ac:dyDescent="0.3">
      <c r="A265" t="s">
        <v>6</v>
      </c>
      <c r="B265" t="s">
        <v>16</v>
      </c>
      <c r="C265" t="s">
        <v>17</v>
      </c>
      <c r="D265" t="s">
        <v>10</v>
      </c>
      <c r="E265">
        <v>2030</v>
      </c>
      <c r="G265" s="2">
        <f>G264*0.91</f>
        <v>0.33406761818181818</v>
      </c>
      <c r="H265" s="2">
        <f>0*((0.993)^8)</f>
        <v>0</v>
      </c>
      <c r="I265" s="8">
        <v>2E-3</v>
      </c>
      <c r="J265" s="8">
        <v>3.0000000000000001E-3</v>
      </c>
      <c r="K265" s="8">
        <v>5.44E-4</v>
      </c>
      <c r="L265">
        <v>0.41758452270000002</v>
      </c>
      <c r="M265">
        <v>0.25055071359999997</v>
      </c>
    </row>
    <row r="266" spans="1:13" x14ac:dyDescent="0.3">
      <c r="A266" t="s">
        <v>6</v>
      </c>
      <c r="B266" t="s">
        <v>16</v>
      </c>
      <c r="C266" t="s">
        <v>17</v>
      </c>
      <c r="D266" t="s">
        <v>11</v>
      </c>
      <c r="E266">
        <v>2030</v>
      </c>
      <c r="F266">
        <f>1.5932/33</f>
        <v>4.8278787878787879E-2</v>
      </c>
      <c r="G266" s="2">
        <f t="shared" si="10"/>
        <v>0.46492472727272732</v>
      </c>
      <c r="H266" s="2">
        <f>0*((0.993)^8)</f>
        <v>0</v>
      </c>
      <c r="I266" s="8">
        <v>2E-3</v>
      </c>
      <c r="J266" s="8">
        <v>3.0000000000000001E-3</v>
      </c>
      <c r="K266" s="8">
        <v>5.44E-4</v>
      </c>
      <c r="L266">
        <v>0.58115590910000003</v>
      </c>
      <c r="M266">
        <v>0.34869354549999998</v>
      </c>
    </row>
    <row r="267" spans="1:13" x14ac:dyDescent="0.3">
      <c r="A267" t="s">
        <v>6</v>
      </c>
      <c r="B267" t="s">
        <v>16</v>
      </c>
      <c r="C267" t="s">
        <v>17</v>
      </c>
      <c r="D267" t="s">
        <v>12</v>
      </c>
      <c r="E267">
        <v>2030</v>
      </c>
      <c r="G267" s="2">
        <f>G264*1.13</f>
        <v>0.41483121818181812</v>
      </c>
      <c r="H267" s="2">
        <f>(((127+217)/2)/33)*((0.993)^8)</f>
        <v>4.9272942112339519</v>
      </c>
      <c r="I267" s="8">
        <v>2E-3</v>
      </c>
      <c r="J267" s="8">
        <v>3.0000000000000001E-3</v>
      </c>
      <c r="K267" s="8">
        <v>5.44E-4</v>
      </c>
      <c r="L267">
        <v>0.51853902269999996</v>
      </c>
      <c r="M267">
        <v>0.31112341360000001</v>
      </c>
    </row>
    <row r="268" spans="1:13" x14ac:dyDescent="0.3">
      <c r="A268" t="s">
        <v>6</v>
      </c>
      <c r="B268" t="s">
        <v>16</v>
      </c>
      <c r="C268" t="s">
        <v>17</v>
      </c>
      <c r="D268" t="s">
        <v>13</v>
      </c>
      <c r="E268">
        <v>2030</v>
      </c>
      <c r="G268" s="2">
        <f>G264*1.12</f>
        <v>0.41116014545454549</v>
      </c>
      <c r="H268" s="2">
        <f>(156/33)*((0.993)^8)</f>
        <v>4.4689412613517234</v>
      </c>
      <c r="I268" s="8">
        <v>2E-3</v>
      </c>
      <c r="J268" s="8">
        <v>3.0000000000000001E-3</v>
      </c>
      <c r="K268" s="8">
        <v>5.44E-4</v>
      </c>
      <c r="L268">
        <v>0.51395018179999996</v>
      </c>
      <c r="M268">
        <v>0.30837010910000001</v>
      </c>
    </row>
    <row r="269" spans="1:13" x14ac:dyDescent="0.3">
      <c r="A269" t="s">
        <v>6</v>
      </c>
      <c r="B269" t="s">
        <v>65</v>
      </c>
      <c r="C269" t="s">
        <v>17</v>
      </c>
      <c r="D269" t="s">
        <v>9</v>
      </c>
      <c r="E269">
        <v>2030</v>
      </c>
      <c r="F269">
        <f>1.258/33</f>
        <v>3.8121212121212118E-2</v>
      </c>
      <c r="G269" s="2">
        <f t="shared" si="10"/>
        <v>0.36710727272727273</v>
      </c>
      <c r="H269" s="2">
        <f>(1274/33)*((0.993)^8)</f>
        <v>36.496353634372412</v>
      </c>
      <c r="I269" s="8">
        <v>2E-3</v>
      </c>
      <c r="J269" s="8">
        <v>3.0000000000000001E-3</v>
      </c>
      <c r="K269" s="8">
        <v>5.44E-4</v>
      </c>
      <c r="L269">
        <v>0.36710727269999999</v>
      </c>
      <c r="M269">
        <v>0.36710727269999999</v>
      </c>
    </row>
    <row r="270" spans="1:13" x14ac:dyDescent="0.3">
      <c r="A270" t="s">
        <v>6</v>
      </c>
      <c r="B270" t="s">
        <v>65</v>
      </c>
      <c r="C270" t="s">
        <v>17</v>
      </c>
      <c r="D270" t="s">
        <v>10</v>
      </c>
      <c r="E270">
        <v>2030</v>
      </c>
      <c r="G270" s="2">
        <f>G269*0.91</f>
        <v>0.33406761818181818</v>
      </c>
      <c r="H270" s="2">
        <f>0*((0.993)^8)</f>
        <v>0</v>
      </c>
      <c r="I270" s="8">
        <v>2E-3</v>
      </c>
      <c r="J270" s="8">
        <v>3.0000000000000001E-3</v>
      </c>
      <c r="K270" s="8">
        <v>5.44E-4</v>
      </c>
      <c r="L270">
        <v>0.41758452270000002</v>
      </c>
      <c r="M270">
        <v>0.25055071359999997</v>
      </c>
    </row>
    <row r="271" spans="1:13" x14ac:dyDescent="0.3">
      <c r="A271" t="s">
        <v>6</v>
      </c>
      <c r="B271" t="s">
        <v>65</v>
      </c>
      <c r="C271" t="s">
        <v>17</v>
      </c>
      <c r="D271" t="s">
        <v>11</v>
      </c>
      <c r="E271">
        <v>2030</v>
      </c>
      <c r="F271">
        <f>1.5932/33</f>
        <v>4.8278787878787879E-2</v>
      </c>
      <c r="G271" s="2">
        <f t="shared" si="10"/>
        <v>0.46492472727272732</v>
      </c>
      <c r="H271" s="2">
        <f>0*((0.993)^8)</f>
        <v>0</v>
      </c>
      <c r="I271" s="8">
        <v>2E-3</v>
      </c>
      <c r="J271" s="8">
        <v>3.0000000000000001E-3</v>
      </c>
      <c r="K271" s="8">
        <v>5.44E-4</v>
      </c>
      <c r="L271">
        <v>0.58115590910000003</v>
      </c>
      <c r="M271">
        <v>0.34869354549999998</v>
      </c>
    </row>
    <row r="272" spans="1:13" x14ac:dyDescent="0.3">
      <c r="A272" t="s">
        <v>6</v>
      </c>
      <c r="B272" t="s">
        <v>65</v>
      </c>
      <c r="C272" t="s">
        <v>17</v>
      </c>
      <c r="D272" t="s">
        <v>12</v>
      </c>
      <c r="E272">
        <v>2030</v>
      </c>
      <c r="G272" s="2">
        <f>G269*1.13</f>
        <v>0.41483121818181812</v>
      </c>
      <c r="H272" s="2">
        <f>(((127+217)/2)/33)*((0.993)^8)</f>
        <v>4.9272942112339519</v>
      </c>
      <c r="I272" s="8">
        <v>2E-3</v>
      </c>
      <c r="J272" s="8">
        <v>3.0000000000000001E-3</v>
      </c>
      <c r="K272" s="8">
        <v>5.44E-4</v>
      </c>
      <c r="L272">
        <v>0.51853902269999996</v>
      </c>
      <c r="M272">
        <v>0.31112341360000001</v>
      </c>
    </row>
    <row r="273" spans="1:13" x14ac:dyDescent="0.3">
      <c r="A273" t="s">
        <v>6</v>
      </c>
      <c r="B273" t="s">
        <v>65</v>
      </c>
      <c r="C273" t="s">
        <v>17</v>
      </c>
      <c r="D273" t="s">
        <v>13</v>
      </c>
      <c r="E273">
        <v>2030</v>
      </c>
      <c r="G273" s="2">
        <f>G269*1.12</f>
        <v>0.41116014545454549</v>
      </c>
      <c r="H273" s="2">
        <f>(156/33)*((0.993)^8)</f>
        <v>4.4689412613517234</v>
      </c>
      <c r="I273" s="8">
        <v>2E-3</v>
      </c>
      <c r="J273" s="8">
        <v>3.0000000000000001E-3</v>
      </c>
      <c r="K273" s="8">
        <v>5.44E-4</v>
      </c>
      <c r="L273">
        <v>0.51395018179999996</v>
      </c>
      <c r="M273">
        <v>0.30837010910000001</v>
      </c>
    </row>
    <row r="274" spans="1:13" x14ac:dyDescent="0.3">
      <c r="A274" t="s">
        <v>6</v>
      </c>
      <c r="B274" t="s">
        <v>18</v>
      </c>
      <c r="C274" t="s">
        <v>19</v>
      </c>
      <c r="D274" t="s">
        <v>9</v>
      </c>
      <c r="E274">
        <v>2030</v>
      </c>
      <c r="F274">
        <f>1.258/33</f>
        <v>3.8121212121212118E-2</v>
      </c>
      <c r="G274" s="2">
        <f t="shared" ref="G274:G344" si="11">F274*$Q$2</f>
        <v>0.36710727272727273</v>
      </c>
      <c r="H274" s="2">
        <f>(1274/33)*((0.993)^8)</f>
        <v>36.496353634372412</v>
      </c>
      <c r="I274" s="8">
        <v>2E-3</v>
      </c>
      <c r="J274" s="8">
        <v>3.0000000000000001E-3</v>
      </c>
      <c r="K274" s="8">
        <v>5.44E-4</v>
      </c>
      <c r="L274">
        <v>0.36710727269999999</v>
      </c>
      <c r="M274">
        <v>0.36710727269999999</v>
      </c>
    </row>
    <row r="275" spans="1:13" x14ac:dyDescent="0.3">
      <c r="A275" t="s">
        <v>6</v>
      </c>
      <c r="B275" t="s">
        <v>18</v>
      </c>
      <c r="C275" t="s">
        <v>19</v>
      </c>
      <c r="D275" t="s">
        <v>10</v>
      </c>
      <c r="E275">
        <v>2030</v>
      </c>
      <c r="G275" s="2">
        <f>G274*0.91</f>
        <v>0.33406761818181818</v>
      </c>
      <c r="H275" s="2">
        <f>0*((0.993)^8)</f>
        <v>0</v>
      </c>
      <c r="I275" s="8">
        <v>2E-3</v>
      </c>
      <c r="J275" s="8">
        <v>3.0000000000000001E-3</v>
      </c>
      <c r="K275" s="8">
        <v>5.44E-4</v>
      </c>
      <c r="L275">
        <v>0.41758452270000002</v>
      </c>
      <c r="M275">
        <v>0.25055071359999997</v>
      </c>
    </row>
    <row r="276" spans="1:13" x14ac:dyDescent="0.3">
      <c r="A276" t="s">
        <v>6</v>
      </c>
      <c r="B276" t="s">
        <v>18</v>
      </c>
      <c r="C276" t="s">
        <v>19</v>
      </c>
      <c r="D276" t="s">
        <v>11</v>
      </c>
      <c r="E276">
        <v>2030</v>
      </c>
      <c r="F276">
        <f>1.5932/33</f>
        <v>4.8278787878787879E-2</v>
      </c>
      <c r="G276" s="2">
        <f t="shared" si="11"/>
        <v>0.46492472727272732</v>
      </c>
      <c r="H276" s="2">
        <f>0*((0.993)^8)</f>
        <v>0</v>
      </c>
      <c r="I276" s="8">
        <v>2E-3</v>
      </c>
      <c r="J276" s="8">
        <v>3.0000000000000001E-3</v>
      </c>
      <c r="K276" s="8">
        <v>5.44E-4</v>
      </c>
      <c r="L276">
        <v>0.58115590910000003</v>
      </c>
      <c r="M276">
        <v>0.34869354549999998</v>
      </c>
    </row>
    <row r="277" spans="1:13" x14ac:dyDescent="0.3">
      <c r="A277" t="s">
        <v>6</v>
      </c>
      <c r="B277" t="s">
        <v>18</v>
      </c>
      <c r="C277" t="s">
        <v>19</v>
      </c>
      <c r="D277" t="s">
        <v>12</v>
      </c>
      <c r="E277">
        <v>2030</v>
      </c>
      <c r="G277" s="2">
        <f>G274*1.13</f>
        <v>0.41483121818181812</v>
      </c>
      <c r="H277" s="2">
        <f>(((127+217)/2)/33)*((0.993)^8)</f>
        <v>4.9272942112339519</v>
      </c>
      <c r="I277" s="8">
        <v>2E-3</v>
      </c>
      <c r="J277" s="8">
        <v>3.0000000000000001E-3</v>
      </c>
      <c r="K277" s="8">
        <v>5.44E-4</v>
      </c>
      <c r="L277">
        <v>0.51853902269999996</v>
      </c>
      <c r="M277">
        <v>0.31112341360000001</v>
      </c>
    </row>
    <row r="278" spans="1:13" x14ac:dyDescent="0.3">
      <c r="A278" t="s">
        <v>6</v>
      </c>
      <c r="B278" t="s">
        <v>18</v>
      </c>
      <c r="C278" t="s">
        <v>19</v>
      </c>
      <c r="D278" t="s">
        <v>13</v>
      </c>
      <c r="E278">
        <v>2030</v>
      </c>
      <c r="G278" s="2">
        <f>G274*1.12</f>
        <v>0.41116014545454549</v>
      </c>
      <c r="H278" s="2">
        <f>(156/33)*((0.993)^8)</f>
        <v>4.4689412613517234</v>
      </c>
      <c r="I278" s="8">
        <v>2E-3</v>
      </c>
      <c r="J278" s="8">
        <v>3.0000000000000001E-3</v>
      </c>
      <c r="K278" s="8">
        <v>5.44E-4</v>
      </c>
      <c r="L278">
        <v>0.51395018179999996</v>
      </c>
      <c r="M278">
        <v>0.30837010910000001</v>
      </c>
    </row>
    <row r="279" spans="1:13" x14ac:dyDescent="0.3">
      <c r="A279" t="s">
        <v>6</v>
      </c>
      <c r="B279" t="s">
        <v>20</v>
      </c>
      <c r="C279" t="s">
        <v>21</v>
      </c>
      <c r="D279" t="s">
        <v>9</v>
      </c>
      <c r="E279">
        <v>2030</v>
      </c>
      <c r="F279">
        <f>1.258/34</f>
        <v>3.6999999999999998E-2</v>
      </c>
      <c r="G279" s="2">
        <f t="shared" si="11"/>
        <v>0.35631000000000002</v>
      </c>
      <c r="H279" s="2">
        <f>(1274/34)*((0.993)^8)</f>
        <v>35.42293146865557</v>
      </c>
      <c r="I279" s="8">
        <v>2E-3</v>
      </c>
      <c r="J279" s="8">
        <v>3.0000000000000001E-3</v>
      </c>
      <c r="K279" s="8">
        <v>5.44E-4</v>
      </c>
      <c r="L279">
        <v>0.35631000000000002</v>
      </c>
      <c r="M279">
        <v>0.35631000000000002</v>
      </c>
    </row>
    <row r="280" spans="1:13" x14ac:dyDescent="0.3">
      <c r="A280" t="s">
        <v>6</v>
      </c>
      <c r="B280" t="s">
        <v>20</v>
      </c>
      <c r="C280" t="s">
        <v>21</v>
      </c>
      <c r="D280" t="s">
        <v>10</v>
      </c>
      <c r="E280">
        <v>2030</v>
      </c>
      <c r="G280" s="2">
        <f>G279*0.91</f>
        <v>0.32424210000000003</v>
      </c>
      <c r="H280" s="2">
        <f>0*((0.993)^8)</f>
        <v>0</v>
      </c>
      <c r="I280" s="8">
        <v>2E-3</v>
      </c>
      <c r="J280" s="8">
        <v>3.0000000000000001E-3</v>
      </c>
      <c r="K280" s="8">
        <v>5.44E-4</v>
      </c>
      <c r="L280">
        <v>0.40530262500000003</v>
      </c>
      <c r="M280">
        <v>0.24318157500000001</v>
      </c>
    </row>
    <row r="281" spans="1:13" x14ac:dyDescent="0.3">
      <c r="A281" t="s">
        <v>6</v>
      </c>
      <c r="B281" t="s">
        <v>20</v>
      </c>
      <c r="C281" t="s">
        <v>21</v>
      </c>
      <c r="D281" t="s">
        <v>11</v>
      </c>
      <c r="E281">
        <v>2030</v>
      </c>
      <c r="F281">
        <f>1.5932/34</f>
        <v>4.6858823529411765E-2</v>
      </c>
      <c r="G281" s="2">
        <f t="shared" si="11"/>
        <v>0.45125047058823531</v>
      </c>
      <c r="H281" s="2">
        <f>0*((0.993)^8)</f>
        <v>0</v>
      </c>
      <c r="I281" s="8">
        <v>2E-3</v>
      </c>
      <c r="J281" s="8">
        <v>3.0000000000000001E-3</v>
      </c>
      <c r="K281" s="8">
        <v>5.44E-4</v>
      </c>
      <c r="L281">
        <v>0.56406308819999995</v>
      </c>
      <c r="M281">
        <v>0.3384378529</v>
      </c>
    </row>
    <row r="282" spans="1:13" x14ac:dyDescent="0.3">
      <c r="A282" t="s">
        <v>6</v>
      </c>
      <c r="B282" t="s">
        <v>20</v>
      </c>
      <c r="C282" t="s">
        <v>21</v>
      </c>
      <c r="D282" t="s">
        <v>12</v>
      </c>
      <c r="E282">
        <v>2030</v>
      </c>
      <c r="G282" s="2">
        <f>G279*1.13</f>
        <v>0.4026303</v>
      </c>
      <c r="H282" s="2">
        <f>(((127+217)/2)/34)*((0.993)^8)</f>
        <v>4.7823737932564825</v>
      </c>
      <c r="I282" s="8">
        <v>2E-3</v>
      </c>
      <c r="J282" s="8">
        <v>3.0000000000000001E-3</v>
      </c>
      <c r="K282" s="8">
        <v>5.44E-4</v>
      </c>
      <c r="L282">
        <v>0.50328787500000005</v>
      </c>
      <c r="M282">
        <v>0.301972725</v>
      </c>
    </row>
    <row r="283" spans="1:13" x14ac:dyDescent="0.3">
      <c r="A283" t="s">
        <v>6</v>
      </c>
      <c r="B283" t="s">
        <v>20</v>
      </c>
      <c r="C283" t="s">
        <v>21</v>
      </c>
      <c r="D283" t="s">
        <v>13</v>
      </c>
      <c r="E283">
        <v>2030</v>
      </c>
      <c r="G283" s="2">
        <f>G279*1.13</f>
        <v>0.4026303</v>
      </c>
      <c r="H283" s="2">
        <f>(156/34)*((0.993)^8)</f>
        <v>4.337501812488437</v>
      </c>
      <c r="I283" s="8">
        <v>2E-3</v>
      </c>
      <c r="J283" s="8">
        <v>3.0000000000000001E-3</v>
      </c>
      <c r="K283" s="8">
        <v>5.44E-4</v>
      </c>
      <c r="L283">
        <v>0.50328787500000005</v>
      </c>
      <c r="M283">
        <v>0.301972725</v>
      </c>
    </row>
    <row r="284" spans="1:13" x14ac:dyDescent="0.3">
      <c r="A284" t="s">
        <v>6</v>
      </c>
      <c r="B284" t="s">
        <v>22</v>
      </c>
      <c r="C284" t="s">
        <v>23</v>
      </c>
      <c r="D284" t="s">
        <v>9</v>
      </c>
      <c r="E284">
        <v>2030</v>
      </c>
      <c r="F284">
        <f>1.258/33</f>
        <v>3.8121212121212118E-2</v>
      </c>
      <c r="G284" s="2">
        <f t="shared" si="11"/>
        <v>0.36710727272727273</v>
      </c>
      <c r="H284" s="2">
        <f>(1274/33)*((0.993)^8)</f>
        <v>36.496353634372412</v>
      </c>
      <c r="I284" s="8">
        <v>2E-3</v>
      </c>
      <c r="J284" s="8">
        <v>3.0000000000000001E-3</v>
      </c>
      <c r="K284" s="8">
        <v>5.44E-4</v>
      </c>
      <c r="L284">
        <v>0.36710727269999999</v>
      </c>
      <c r="M284">
        <v>0.36710727269999999</v>
      </c>
    </row>
    <row r="285" spans="1:13" x14ac:dyDescent="0.3">
      <c r="A285" t="s">
        <v>6</v>
      </c>
      <c r="B285" t="s">
        <v>22</v>
      </c>
      <c r="C285" t="s">
        <v>23</v>
      </c>
      <c r="D285" t="s">
        <v>10</v>
      </c>
      <c r="E285">
        <v>2030</v>
      </c>
      <c r="G285" s="2">
        <f>G284*0.91</f>
        <v>0.33406761818181818</v>
      </c>
      <c r="H285" s="2">
        <f>0*((0.993)^8)</f>
        <v>0</v>
      </c>
      <c r="I285" s="8">
        <v>2E-3</v>
      </c>
      <c r="J285" s="8">
        <v>3.0000000000000001E-3</v>
      </c>
      <c r="K285" s="8">
        <v>5.44E-4</v>
      </c>
      <c r="L285">
        <v>0.41758452270000002</v>
      </c>
      <c r="M285">
        <v>0.25055071359999997</v>
      </c>
    </row>
    <row r="286" spans="1:13" x14ac:dyDescent="0.3">
      <c r="A286" t="s">
        <v>6</v>
      </c>
      <c r="B286" t="s">
        <v>22</v>
      </c>
      <c r="C286" t="s">
        <v>23</v>
      </c>
      <c r="D286" t="s">
        <v>11</v>
      </c>
      <c r="E286">
        <v>2030</v>
      </c>
      <c r="F286">
        <f>1.5932/33</f>
        <v>4.8278787878787879E-2</v>
      </c>
      <c r="G286" s="2">
        <f t="shared" si="11"/>
        <v>0.46492472727272732</v>
      </c>
      <c r="H286" s="2">
        <f>0*((0.993)^8)</f>
        <v>0</v>
      </c>
      <c r="I286" s="8">
        <v>2E-3</v>
      </c>
      <c r="J286" s="8">
        <v>3.0000000000000001E-3</v>
      </c>
      <c r="K286" s="8">
        <v>5.44E-4</v>
      </c>
      <c r="L286">
        <v>0.58115590910000003</v>
      </c>
      <c r="M286">
        <v>0.34869354549999998</v>
      </c>
    </row>
    <row r="287" spans="1:13" x14ac:dyDescent="0.3">
      <c r="A287" t="s">
        <v>6</v>
      </c>
      <c r="B287" t="s">
        <v>22</v>
      </c>
      <c r="C287" t="s">
        <v>23</v>
      </c>
      <c r="D287" t="s">
        <v>12</v>
      </c>
      <c r="E287">
        <v>2030</v>
      </c>
      <c r="G287" s="2">
        <f>G284*1.13</f>
        <v>0.41483121818181812</v>
      </c>
      <c r="H287" s="2">
        <f>(((127+217)/2)/33)*((0.993)^8)</f>
        <v>4.9272942112339519</v>
      </c>
      <c r="I287" s="8">
        <v>2E-3</v>
      </c>
      <c r="J287" s="8">
        <v>3.0000000000000001E-3</v>
      </c>
      <c r="K287" s="8">
        <v>5.44E-4</v>
      </c>
      <c r="L287">
        <v>0.51853902269999996</v>
      </c>
      <c r="M287">
        <v>0.31112341360000001</v>
      </c>
    </row>
    <row r="288" spans="1:13" x14ac:dyDescent="0.3">
      <c r="A288" t="s">
        <v>6</v>
      </c>
      <c r="B288" t="s">
        <v>22</v>
      </c>
      <c r="C288" t="s">
        <v>23</v>
      </c>
      <c r="D288" t="s">
        <v>13</v>
      </c>
      <c r="E288">
        <v>2030</v>
      </c>
      <c r="G288" s="2">
        <f>G284*1.12</f>
        <v>0.41116014545454549</v>
      </c>
      <c r="H288" s="2">
        <f>(156/33)*((0.993)^8)</f>
        <v>4.4689412613517234</v>
      </c>
      <c r="I288" s="8">
        <v>2E-3</v>
      </c>
      <c r="J288" s="8">
        <v>3.0000000000000001E-3</v>
      </c>
      <c r="K288" s="8">
        <v>5.44E-4</v>
      </c>
      <c r="L288">
        <v>0.51395018179999996</v>
      </c>
      <c r="M288">
        <v>0.30837010910000001</v>
      </c>
    </row>
    <row r="289" spans="1:13" x14ac:dyDescent="0.3">
      <c r="A289" t="s">
        <v>40</v>
      </c>
      <c r="B289" t="s">
        <v>7</v>
      </c>
      <c r="C289" t="s">
        <v>24</v>
      </c>
      <c r="D289" t="s">
        <v>44</v>
      </c>
      <c r="E289">
        <v>2030</v>
      </c>
      <c r="F289">
        <f>69.901/9000</f>
        <v>7.766777777777777E-3</v>
      </c>
      <c r="G289" s="3">
        <f>F289*$Q$2</f>
        <v>7.4794070000000004E-2</v>
      </c>
      <c r="H289" s="3">
        <f>13*((0.993)^8)</f>
        <v>12.289588468717239</v>
      </c>
      <c r="I289" s="9">
        <v>2E-3</v>
      </c>
      <c r="J289" s="9">
        <v>3.0000000000000001E-3</v>
      </c>
      <c r="K289" s="9">
        <v>5.44E-4</v>
      </c>
      <c r="L289">
        <v>7.4794070000000004E-2</v>
      </c>
      <c r="M289">
        <v>7.4794070000000004E-2</v>
      </c>
    </row>
    <row r="290" spans="1:13" x14ac:dyDescent="0.3">
      <c r="A290" t="s">
        <v>40</v>
      </c>
      <c r="B290" t="s">
        <v>7</v>
      </c>
      <c r="C290" t="s">
        <v>24</v>
      </c>
      <c r="D290" t="s">
        <v>25</v>
      </c>
      <c r="E290">
        <v>2030</v>
      </c>
      <c r="G290" s="3">
        <f>G289*1.1</f>
        <v>8.2273477000000012E-2</v>
      </c>
      <c r="H290" s="3">
        <f>(0.93*H289)*((0.993)^8)</f>
        <v>10.804738907638294</v>
      </c>
      <c r="I290" s="9">
        <v>2E-3</v>
      </c>
      <c r="J290" s="9">
        <v>3.0000000000000001E-3</v>
      </c>
      <c r="K290" s="9">
        <v>5.44E-4</v>
      </c>
      <c r="L290">
        <v>8.2273476999999998E-2</v>
      </c>
      <c r="M290">
        <v>8.2273476999999998E-2</v>
      </c>
    </row>
    <row r="291" spans="1:13" x14ac:dyDescent="0.3">
      <c r="A291" t="s">
        <v>40</v>
      </c>
      <c r="B291" t="s">
        <v>7</v>
      </c>
      <c r="C291" t="s">
        <v>24</v>
      </c>
      <c r="D291" t="s">
        <v>26</v>
      </c>
      <c r="E291">
        <v>2030</v>
      </c>
      <c r="G291" s="3">
        <f>G290*1.07</f>
        <v>8.8032620390000024E-2</v>
      </c>
      <c r="H291" s="3">
        <f>(H289*0.7)*((0.993)^8)</f>
        <v>8.1325991777922635</v>
      </c>
      <c r="I291" s="9">
        <v>2E-3</v>
      </c>
      <c r="J291" s="9">
        <v>3.0000000000000001E-3</v>
      </c>
      <c r="K291" s="9">
        <v>5.44E-4</v>
      </c>
      <c r="L291">
        <v>8.8032620389999997E-2</v>
      </c>
      <c r="M291">
        <v>8.8032620389999997E-2</v>
      </c>
    </row>
    <row r="292" spans="1:13" x14ac:dyDescent="0.3">
      <c r="A292" t="s">
        <v>40</v>
      </c>
      <c r="B292" t="s">
        <v>7</v>
      </c>
      <c r="C292" t="s">
        <v>24</v>
      </c>
      <c r="D292" t="s">
        <v>11</v>
      </c>
      <c r="E292">
        <v>2030</v>
      </c>
      <c r="F292">
        <f>151.862/9000</f>
        <v>1.6873555555555555E-2</v>
      </c>
      <c r="G292" s="3">
        <f t="shared" si="11"/>
        <v>0.16249234000000001</v>
      </c>
      <c r="H292" s="3">
        <f>0*((0.993)^8)</f>
        <v>0</v>
      </c>
      <c r="I292" s="9">
        <v>2E-3</v>
      </c>
      <c r="J292" s="9">
        <v>3.0000000000000001E-3</v>
      </c>
      <c r="K292" s="9">
        <v>5.44E-4</v>
      </c>
      <c r="L292">
        <v>0.20311542499999999</v>
      </c>
      <c r="M292">
        <v>0.121869255</v>
      </c>
    </row>
    <row r="293" spans="1:13" x14ac:dyDescent="0.3">
      <c r="A293" t="s">
        <v>40</v>
      </c>
      <c r="B293" t="s">
        <v>7</v>
      </c>
      <c r="C293" t="s">
        <v>24</v>
      </c>
      <c r="D293" t="s">
        <v>27</v>
      </c>
      <c r="E293">
        <v>2030</v>
      </c>
      <c r="F293">
        <f>146.845/9000</f>
        <v>1.6316111111111111E-2</v>
      </c>
      <c r="G293" s="3">
        <f t="shared" si="11"/>
        <v>0.15712415000000002</v>
      </c>
      <c r="H293" s="3">
        <f>0*((0.993)^8)</f>
        <v>0</v>
      </c>
      <c r="I293" s="9">
        <v>2E-3</v>
      </c>
      <c r="J293" s="9">
        <v>3.0000000000000001E-3</v>
      </c>
      <c r="K293" s="9">
        <v>5.44E-4</v>
      </c>
      <c r="L293">
        <v>0.19640518749999999</v>
      </c>
      <c r="M293">
        <v>0.1178431125</v>
      </c>
    </row>
    <row r="294" spans="1:13" x14ac:dyDescent="0.3">
      <c r="A294" t="s">
        <v>40</v>
      </c>
      <c r="B294" t="s">
        <v>7</v>
      </c>
      <c r="C294" t="s">
        <v>24</v>
      </c>
      <c r="D294" t="s">
        <v>28</v>
      </c>
      <c r="E294">
        <v>2030</v>
      </c>
      <c r="G294" s="3">
        <f>G290*1.24</f>
        <v>0.10201911148000001</v>
      </c>
      <c r="H294" s="3">
        <f>(0.9*H289)*((0.993)^8)</f>
        <v>10.456198942875767</v>
      </c>
      <c r="I294" s="9">
        <v>2E-3</v>
      </c>
      <c r="J294" s="9">
        <v>3.0000000000000001E-3</v>
      </c>
      <c r="K294" s="9">
        <v>5.44E-4</v>
      </c>
      <c r="L294">
        <v>0.12752388940000001</v>
      </c>
      <c r="M294">
        <v>7.6514333609999999E-2</v>
      </c>
    </row>
    <row r="295" spans="1:13" x14ac:dyDescent="0.3">
      <c r="A295" t="s">
        <v>40</v>
      </c>
      <c r="B295" t="s">
        <v>7</v>
      </c>
      <c r="C295" t="s">
        <v>24</v>
      </c>
      <c r="D295" t="s">
        <v>13</v>
      </c>
      <c r="E295">
        <v>2030</v>
      </c>
      <c r="G295" s="3">
        <f>G294*1.05</f>
        <v>0.10712006705400001</v>
      </c>
      <c r="H295" s="3">
        <f>(H289*0.24)*((0.993)^8)</f>
        <v>2.7883197181002042</v>
      </c>
      <c r="I295" s="9">
        <v>2E-3</v>
      </c>
      <c r="J295" s="9">
        <v>3.0000000000000001E-3</v>
      </c>
      <c r="K295" s="9">
        <v>5.44E-4</v>
      </c>
      <c r="L295">
        <v>0.13390008380000001</v>
      </c>
      <c r="M295">
        <v>8.0340050290000006E-2</v>
      </c>
    </row>
    <row r="296" spans="1:13" x14ac:dyDescent="0.3">
      <c r="A296" t="s">
        <v>40</v>
      </c>
      <c r="B296" t="s">
        <v>14</v>
      </c>
      <c r="C296" t="s">
        <v>29</v>
      </c>
      <c r="D296" t="s">
        <v>44</v>
      </c>
      <c r="E296">
        <v>2030</v>
      </c>
      <c r="F296">
        <f>69.901/8500</f>
        <v>8.2236470588235282E-3</v>
      </c>
      <c r="G296" s="3">
        <f t="shared" si="11"/>
        <v>7.9193721176470583E-2</v>
      </c>
      <c r="H296" s="3">
        <f>((42/14000)*9000)*((0.993)^8)</f>
        <v>25.524529896566577</v>
      </c>
      <c r="I296" s="9">
        <v>2E-3</v>
      </c>
      <c r="J296" s="9">
        <v>3.0000000000000001E-3</v>
      </c>
      <c r="K296" s="9">
        <v>5.44E-4</v>
      </c>
      <c r="L296">
        <v>7.9193721179999996E-2</v>
      </c>
      <c r="M296">
        <v>7.9193721179999996E-2</v>
      </c>
    </row>
    <row r="297" spans="1:13" x14ac:dyDescent="0.3">
      <c r="A297" t="s">
        <v>40</v>
      </c>
      <c r="B297" t="s">
        <v>14</v>
      </c>
      <c r="C297" t="s">
        <v>29</v>
      </c>
      <c r="D297" t="s">
        <v>25</v>
      </c>
      <c r="E297">
        <v>2030</v>
      </c>
      <c r="G297" s="3">
        <f>G296*1.1</f>
        <v>8.7113093294117649E-2</v>
      </c>
      <c r="H297" s="3">
        <f>(0.93*H296)*((0.993)^8)</f>
        <v>22.440611577402613</v>
      </c>
      <c r="I297" s="9">
        <v>2E-3</v>
      </c>
      <c r="J297" s="9">
        <v>3.0000000000000001E-3</v>
      </c>
      <c r="K297" s="9">
        <v>5.44E-4</v>
      </c>
      <c r="L297">
        <v>8.7113093289999999E-2</v>
      </c>
      <c r="M297">
        <v>8.7113093289999999E-2</v>
      </c>
    </row>
    <row r="298" spans="1:13" x14ac:dyDescent="0.3">
      <c r="A298" t="s">
        <v>40</v>
      </c>
      <c r="B298" t="s">
        <v>14</v>
      </c>
      <c r="C298" t="s">
        <v>29</v>
      </c>
      <c r="D298" t="s">
        <v>26</v>
      </c>
      <c r="E298">
        <v>2030</v>
      </c>
      <c r="G298" s="3">
        <f>G297*1.07</f>
        <v>9.3211009824705884E-2</v>
      </c>
      <c r="H298" s="3">
        <f>(H296*0.7)*((0.993)^8)</f>
        <v>16.890782907722397</v>
      </c>
      <c r="I298" s="9">
        <v>2E-3</v>
      </c>
      <c r="J298" s="9">
        <v>3.0000000000000001E-3</v>
      </c>
      <c r="K298" s="9">
        <v>5.44E-4</v>
      </c>
      <c r="L298">
        <v>9.3211009819999996E-2</v>
      </c>
      <c r="M298">
        <v>9.3211009819999996E-2</v>
      </c>
    </row>
    <row r="299" spans="1:13" x14ac:dyDescent="0.3">
      <c r="A299" t="s">
        <v>40</v>
      </c>
      <c r="B299" t="s">
        <v>14</v>
      </c>
      <c r="C299" t="s">
        <v>29</v>
      </c>
      <c r="D299" t="s">
        <v>11</v>
      </c>
      <c r="E299">
        <v>2030</v>
      </c>
      <c r="F299">
        <f>151.862/8500</f>
        <v>1.7866117647058824E-2</v>
      </c>
      <c r="G299" s="3">
        <f t="shared" si="11"/>
        <v>0.17205071294117649</v>
      </c>
      <c r="H299" s="3">
        <f>0*((0.993)^8)</f>
        <v>0</v>
      </c>
      <c r="I299" s="9">
        <v>2E-3</v>
      </c>
      <c r="J299" s="9">
        <v>3.0000000000000001E-3</v>
      </c>
      <c r="K299" s="9">
        <v>5.44E-4</v>
      </c>
      <c r="L299">
        <v>0.21506339120000001</v>
      </c>
      <c r="M299">
        <v>0.1290380347</v>
      </c>
    </row>
    <row r="300" spans="1:13" x14ac:dyDescent="0.3">
      <c r="A300" t="s">
        <v>40</v>
      </c>
      <c r="B300" t="s">
        <v>14</v>
      </c>
      <c r="C300" t="s">
        <v>29</v>
      </c>
      <c r="D300" t="s">
        <v>27</v>
      </c>
      <c r="E300">
        <v>2030</v>
      </c>
      <c r="F300">
        <f>146.845/8500</f>
        <v>1.7275882352941176E-2</v>
      </c>
      <c r="G300" s="3">
        <f t="shared" si="11"/>
        <v>0.16636674705882354</v>
      </c>
      <c r="H300" s="3">
        <f>0*((0.993)^8)</f>
        <v>0</v>
      </c>
      <c r="I300" s="9">
        <v>2E-3</v>
      </c>
      <c r="J300" s="9">
        <v>3.0000000000000001E-3</v>
      </c>
      <c r="K300" s="9">
        <v>5.44E-4</v>
      </c>
      <c r="L300">
        <v>0.20795843380000001</v>
      </c>
      <c r="M300">
        <v>0.1247750603</v>
      </c>
    </row>
    <row r="301" spans="1:13" x14ac:dyDescent="0.3">
      <c r="A301" t="s">
        <v>40</v>
      </c>
      <c r="B301" t="s">
        <v>14</v>
      </c>
      <c r="C301" t="s">
        <v>29</v>
      </c>
      <c r="D301" t="s">
        <v>28</v>
      </c>
      <c r="E301">
        <v>2030</v>
      </c>
      <c r="G301" s="3">
        <f>G297*1.24</f>
        <v>0.10802023568470588</v>
      </c>
      <c r="H301" s="3">
        <f>(0.9*H296)*((0.993)^8)</f>
        <v>21.716720881357364</v>
      </c>
      <c r="I301" s="9">
        <v>2E-3</v>
      </c>
      <c r="J301" s="9">
        <v>3.0000000000000001E-3</v>
      </c>
      <c r="K301" s="9">
        <v>5.44E-4</v>
      </c>
      <c r="L301">
        <v>0.13502529460000001</v>
      </c>
      <c r="M301">
        <v>8.1015176760000002E-2</v>
      </c>
    </row>
    <row r="302" spans="1:13" x14ac:dyDescent="0.3">
      <c r="A302" t="s">
        <v>40</v>
      </c>
      <c r="B302" t="s">
        <v>14</v>
      </c>
      <c r="C302" t="s">
        <v>29</v>
      </c>
      <c r="D302" t="s">
        <v>13</v>
      </c>
      <c r="E302">
        <v>2030</v>
      </c>
      <c r="G302" s="3">
        <f>G301*1.05</f>
        <v>0.11342124746894118</v>
      </c>
      <c r="H302" s="3">
        <f>(H296*0.24)*((0.993)^8)</f>
        <v>5.7911255683619638</v>
      </c>
      <c r="I302" s="9">
        <v>2E-3</v>
      </c>
      <c r="J302" s="9">
        <v>3.0000000000000001E-3</v>
      </c>
      <c r="K302" s="9">
        <v>5.44E-4</v>
      </c>
      <c r="L302">
        <v>0.14177655929999999</v>
      </c>
      <c r="M302">
        <v>8.5065935600000003E-2</v>
      </c>
    </row>
    <row r="303" spans="1:13" x14ac:dyDescent="0.3">
      <c r="A303" t="s">
        <v>40</v>
      </c>
      <c r="B303" t="s">
        <v>16</v>
      </c>
      <c r="C303" t="s">
        <v>29</v>
      </c>
      <c r="D303" t="s">
        <v>44</v>
      </c>
      <c r="E303">
        <v>2030</v>
      </c>
      <c r="F303">
        <f>69.901/8500</f>
        <v>8.2236470588235282E-3</v>
      </c>
      <c r="G303" s="3">
        <f t="shared" si="11"/>
        <v>7.9193721176470583E-2</v>
      </c>
      <c r="H303" s="3">
        <f>((42/14000)*9000)*((0.993)^8)</f>
        <v>25.524529896566577</v>
      </c>
      <c r="I303" s="9">
        <v>2E-3</v>
      </c>
      <c r="J303" s="9">
        <v>3.0000000000000001E-3</v>
      </c>
      <c r="K303" s="9">
        <v>5.44E-4</v>
      </c>
      <c r="L303">
        <v>7.9193721179999996E-2</v>
      </c>
      <c r="M303">
        <v>7.9193721179999996E-2</v>
      </c>
    </row>
    <row r="304" spans="1:13" x14ac:dyDescent="0.3">
      <c r="A304" t="s">
        <v>40</v>
      </c>
      <c r="B304" t="s">
        <v>16</v>
      </c>
      <c r="C304" t="s">
        <v>29</v>
      </c>
      <c r="D304" t="s">
        <v>25</v>
      </c>
      <c r="E304">
        <v>2030</v>
      </c>
      <c r="G304" s="3">
        <f>G303*1.1</f>
        <v>8.7113093294117649E-2</v>
      </c>
      <c r="H304" s="3">
        <f>(0.93*H303)*((0.993)^8)</f>
        <v>22.440611577402613</v>
      </c>
      <c r="I304" s="9">
        <v>2E-3</v>
      </c>
      <c r="J304" s="9">
        <v>3.0000000000000001E-3</v>
      </c>
      <c r="K304" s="9">
        <v>5.44E-4</v>
      </c>
      <c r="L304">
        <v>8.7113093289999999E-2</v>
      </c>
      <c r="M304">
        <v>8.7113093289999999E-2</v>
      </c>
    </row>
    <row r="305" spans="1:13" x14ac:dyDescent="0.3">
      <c r="A305" t="s">
        <v>40</v>
      </c>
      <c r="B305" t="s">
        <v>16</v>
      </c>
      <c r="C305" t="s">
        <v>29</v>
      </c>
      <c r="D305" t="s">
        <v>26</v>
      </c>
      <c r="E305">
        <v>2030</v>
      </c>
      <c r="G305" s="3">
        <f>G304*1.07</f>
        <v>9.3211009824705884E-2</v>
      </c>
      <c r="H305" s="3">
        <f>(H303*0.7)*((0.993)^8)</f>
        <v>16.890782907722397</v>
      </c>
      <c r="I305" s="9">
        <v>2E-3</v>
      </c>
      <c r="J305" s="9">
        <v>3.0000000000000001E-3</v>
      </c>
      <c r="K305" s="9">
        <v>5.44E-4</v>
      </c>
      <c r="L305">
        <v>9.3211009819999996E-2</v>
      </c>
      <c r="M305">
        <v>9.3211009819999996E-2</v>
      </c>
    </row>
    <row r="306" spans="1:13" x14ac:dyDescent="0.3">
      <c r="A306" t="s">
        <v>40</v>
      </c>
      <c r="B306" t="s">
        <v>16</v>
      </c>
      <c r="C306" t="s">
        <v>29</v>
      </c>
      <c r="D306" t="s">
        <v>11</v>
      </c>
      <c r="E306">
        <v>2030</v>
      </c>
      <c r="F306">
        <f>151.862/8500</f>
        <v>1.7866117647058824E-2</v>
      </c>
      <c r="G306" s="3">
        <f t="shared" si="11"/>
        <v>0.17205071294117649</v>
      </c>
      <c r="H306" s="3">
        <f>0*((0.993)^8)</f>
        <v>0</v>
      </c>
      <c r="I306" s="9">
        <v>2E-3</v>
      </c>
      <c r="J306" s="9">
        <v>3.0000000000000001E-3</v>
      </c>
      <c r="K306" s="9">
        <v>5.44E-4</v>
      </c>
      <c r="L306">
        <v>0.21506339120000001</v>
      </c>
      <c r="M306">
        <v>0.1290380347</v>
      </c>
    </row>
    <row r="307" spans="1:13" x14ac:dyDescent="0.3">
      <c r="A307" t="s">
        <v>40</v>
      </c>
      <c r="B307" t="s">
        <v>16</v>
      </c>
      <c r="C307" t="s">
        <v>29</v>
      </c>
      <c r="D307" t="s">
        <v>27</v>
      </c>
      <c r="E307">
        <v>2030</v>
      </c>
      <c r="F307">
        <f>146.845/8500</f>
        <v>1.7275882352941176E-2</v>
      </c>
      <c r="G307" s="3">
        <f t="shared" si="11"/>
        <v>0.16636674705882354</v>
      </c>
      <c r="H307" s="3">
        <f>0*((0.993)^8)</f>
        <v>0</v>
      </c>
      <c r="I307" s="9">
        <v>2E-3</v>
      </c>
      <c r="J307" s="9">
        <v>3.0000000000000001E-3</v>
      </c>
      <c r="K307" s="9">
        <v>5.44E-4</v>
      </c>
      <c r="L307">
        <v>0.20795843380000001</v>
      </c>
      <c r="M307">
        <v>0.1247750603</v>
      </c>
    </row>
    <row r="308" spans="1:13" x14ac:dyDescent="0.3">
      <c r="A308" t="s">
        <v>40</v>
      </c>
      <c r="B308" t="s">
        <v>16</v>
      </c>
      <c r="C308" t="s">
        <v>29</v>
      </c>
      <c r="D308" t="s">
        <v>28</v>
      </c>
      <c r="E308">
        <v>2030</v>
      </c>
      <c r="G308" s="3">
        <f>G304*1.24</f>
        <v>0.10802023568470588</v>
      </c>
      <c r="H308" s="3">
        <f>(0.9*H303)*((0.993)^8)</f>
        <v>21.716720881357364</v>
      </c>
      <c r="I308" s="9">
        <v>2E-3</v>
      </c>
      <c r="J308" s="9">
        <v>3.0000000000000001E-3</v>
      </c>
      <c r="K308" s="9">
        <v>5.44E-4</v>
      </c>
      <c r="L308">
        <v>0.13502529460000001</v>
      </c>
      <c r="M308">
        <v>8.1015176760000002E-2</v>
      </c>
    </row>
    <row r="309" spans="1:13" x14ac:dyDescent="0.3">
      <c r="A309" t="s">
        <v>40</v>
      </c>
      <c r="B309" t="s">
        <v>16</v>
      </c>
      <c r="C309" t="s">
        <v>29</v>
      </c>
      <c r="D309" t="s">
        <v>13</v>
      </c>
      <c r="E309">
        <v>2030</v>
      </c>
      <c r="G309" s="3">
        <f>G308*1.05</f>
        <v>0.11342124746894118</v>
      </c>
      <c r="H309" s="3">
        <f>(H303*0.24)*((0.993)^8)</f>
        <v>5.7911255683619638</v>
      </c>
      <c r="I309" s="9">
        <v>2E-3</v>
      </c>
      <c r="J309" s="9">
        <v>3.0000000000000001E-3</v>
      </c>
      <c r="K309" s="9">
        <v>5.44E-4</v>
      </c>
      <c r="L309">
        <v>0.14177655929999999</v>
      </c>
      <c r="M309">
        <v>8.5065935600000003E-2</v>
      </c>
    </row>
    <row r="310" spans="1:13" x14ac:dyDescent="0.3">
      <c r="A310" t="s">
        <v>40</v>
      </c>
      <c r="B310" t="s">
        <v>65</v>
      </c>
      <c r="C310" t="s">
        <v>29</v>
      </c>
      <c r="D310" t="s">
        <v>44</v>
      </c>
      <c r="E310">
        <v>2030</v>
      </c>
      <c r="F310">
        <f>69.901/8500</f>
        <v>8.2236470588235282E-3</v>
      </c>
      <c r="G310" s="3">
        <f t="shared" si="11"/>
        <v>7.9193721176470583E-2</v>
      </c>
      <c r="H310" s="3">
        <f>((42/14000)*9000)*((0.993)^8)</f>
        <v>25.524529896566577</v>
      </c>
      <c r="I310" s="9">
        <v>2E-3</v>
      </c>
      <c r="J310" s="9">
        <v>3.0000000000000001E-3</v>
      </c>
      <c r="K310" s="9">
        <v>5.44E-4</v>
      </c>
      <c r="L310">
        <v>7.9193721179999996E-2</v>
      </c>
      <c r="M310">
        <v>7.9193721179999996E-2</v>
      </c>
    </row>
    <row r="311" spans="1:13" x14ac:dyDescent="0.3">
      <c r="A311" t="s">
        <v>40</v>
      </c>
      <c r="B311" t="s">
        <v>65</v>
      </c>
      <c r="C311" t="s">
        <v>29</v>
      </c>
      <c r="D311" t="s">
        <v>25</v>
      </c>
      <c r="E311">
        <v>2030</v>
      </c>
      <c r="G311" s="3">
        <f>G310*1.1</f>
        <v>8.7113093294117649E-2</v>
      </c>
      <c r="H311" s="3">
        <f>(0.93*H310)*((0.993)^8)</f>
        <v>22.440611577402613</v>
      </c>
      <c r="I311" s="9">
        <v>2E-3</v>
      </c>
      <c r="J311" s="9">
        <v>3.0000000000000001E-3</v>
      </c>
      <c r="K311" s="9">
        <v>5.44E-4</v>
      </c>
      <c r="L311">
        <v>8.7113093289999999E-2</v>
      </c>
      <c r="M311">
        <v>8.7113093289999999E-2</v>
      </c>
    </row>
    <row r="312" spans="1:13" x14ac:dyDescent="0.3">
      <c r="A312" t="s">
        <v>40</v>
      </c>
      <c r="B312" t="s">
        <v>65</v>
      </c>
      <c r="C312" t="s">
        <v>29</v>
      </c>
      <c r="D312" t="s">
        <v>26</v>
      </c>
      <c r="E312">
        <v>2030</v>
      </c>
      <c r="G312" s="3">
        <f>G311*1.07</f>
        <v>9.3211009824705884E-2</v>
      </c>
      <c r="H312" s="3">
        <f>(H310*0.7)*((0.993)^8)</f>
        <v>16.890782907722397</v>
      </c>
      <c r="I312" s="9">
        <v>2E-3</v>
      </c>
      <c r="J312" s="9">
        <v>3.0000000000000001E-3</v>
      </c>
      <c r="K312" s="9">
        <v>5.44E-4</v>
      </c>
      <c r="L312">
        <v>9.3211009819999996E-2</v>
      </c>
      <c r="M312">
        <v>9.3211009819999996E-2</v>
      </c>
    </row>
    <row r="313" spans="1:13" x14ac:dyDescent="0.3">
      <c r="A313" t="s">
        <v>40</v>
      </c>
      <c r="B313" t="s">
        <v>65</v>
      </c>
      <c r="C313" t="s">
        <v>29</v>
      </c>
      <c r="D313" t="s">
        <v>11</v>
      </c>
      <c r="E313">
        <v>2030</v>
      </c>
      <c r="F313">
        <f>151.862/8500</f>
        <v>1.7866117647058824E-2</v>
      </c>
      <c r="G313" s="3">
        <f t="shared" si="11"/>
        <v>0.17205071294117649</v>
      </c>
      <c r="H313" s="3">
        <f>0*((0.993)^8)</f>
        <v>0</v>
      </c>
      <c r="I313" s="9">
        <v>2E-3</v>
      </c>
      <c r="J313" s="9">
        <v>3.0000000000000001E-3</v>
      </c>
      <c r="K313" s="9">
        <v>5.44E-4</v>
      </c>
      <c r="L313">
        <v>0.21506339120000001</v>
      </c>
      <c r="M313">
        <v>0.1290380347</v>
      </c>
    </row>
    <row r="314" spans="1:13" x14ac:dyDescent="0.3">
      <c r="A314" t="s">
        <v>40</v>
      </c>
      <c r="B314" t="s">
        <v>65</v>
      </c>
      <c r="C314" t="s">
        <v>29</v>
      </c>
      <c r="D314" t="s">
        <v>27</v>
      </c>
      <c r="E314">
        <v>2030</v>
      </c>
      <c r="F314">
        <f>146.845/8500</f>
        <v>1.7275882352941176E-2</v>
      </c>
      <c r="G314" s="3">
        <f t="shared" si="11"/>
        <v>0.16636674705882354</v>
      </c>
      <c r="H314" s="3">
        <f>0*((0.993)^8)</f>
        <v>0</v>
      </c>
      <c r="I314" s="9">
        <v>2E-3</v>
      </c>
      <c r="J314" s="9">
        <v>3.0000000000000001E-3</v>
      </c>
      <c r="K314" s="9">
        <v>5.44E-4</v>
      </c>
      <c r="L314">
        <v>0.20795843380000001</v>
      </c>
      <c r="M314">
        <v>0.1247750603</v>
      </c>
    </row>
    <row r="315" spans="1:13" x14ac:dyDescent="0.3">
      <c r="A315" t="s">
        <v>40</v>
      </c>
      <c r="B315" t="s">
        <v>65</v>
      </c>
      <c r="C315" t="s">
        <v>29</v>
      </c>
      <c r="D315" t="s">
        <v>28</v>
      </c>
      <c r="E315">
        <v>2030</v>
      </c>
      <c r="G315" s="3">
        <f>G311*1.24</f>
        <v>0.10802023568470588</v>
      </c>
      <c r="H315" s="3">
        <f>(0.9*H310)*((0.993)^8)</f>
        <v>21.716720881357364</v>
      </c>
      <c r="I315" s="9">
        <v>2E-3</v>
      </c>
      <c r="J315" s="9">
        <v>3.0000000000000001E-3</v>
      </c>
      <c r="K315" s="9">
        <v>5.44E-4</v>
      </c>
      <c r="L315">
        <v>0.13502529460000001</v>
      </c>
      <c r="M315">
        <v>8.1015176760000002E-2</v>
      </c>
    </row>
    <row r="316" spans="1:13" x14ac:dyDescent="0.3">
      <c r="A316" t="s">
        <v>40</v>
      </c>
      <c r="B316" t="s">
        <v>65</v>
      </c>
      <c r="C316" t="s">
        <v>29</v>
      </c>
      <c r="D316" t="s">
        <v>13</v>
      </c>
      <c r="E316">
        <v>2030</v>
      </c>
      <c r="G316" s="3">
        <f>G315*1.05</f>
        <v>0.11342124746894118</v>
      </c>
      <c r="H316" s="3">
        <f>(H310*0.24)*((0.993)^8)</f>
        <v>5.7911255683619638</v>
      </c>
      <c r="I316" s="9">
        <v>2E-3</v>
      </c>
      <c r="J316" s="9">
        <v>3.0000000000000001E-3</v>
      </c>
      <c r="K316" s="9">
        <v>5.44E-4</v>
      </c>
      <c r="L316">
        <v>0.14177655929999999</v>
      </c>
      <c r="M316">
        <v>8.5065935600000003E-2</v>
      </c>
    </row>
    <row r="317" spans="1:13" x14ac:dyDescent="0.3">
      <c r="A317" t="s">
        <v>40</v>
      </c>
      <c r="B317" t="s">
        <v>18</v>
      </c>
      <c r="C317" t="s">
        <v>30</v>
      </c>
      <c r="D317" t="s">
        <v>44</v>
      </c>
      <c r="E317">
        <v>2030</v>
      </c>
      <c r="F317">
        <f>69.901/2500</f>
        <v>2.79604E-2</v>
      </c>
      <c r="G317" s="3">
        <f t="shared" si="11"/>
        <v>0.26925865200000004</v>
      </c>
      <c r="H317" s="3">
        <f>((28/4000)*2500)*((0.993)^8)</f>
        <v>16.543676784811669</v>
      </c>
      <c r="I317" s="9">
        <v>2E-3</v>
      </c>
      <c r="J317" s="9">
        <v>3.0000000000000001E-3</v>
      </c>
      <c r="K317" s="9">
        <v>5.44E-4</v>
      </c>
      <c r="L317">
        <v>0.26925865199999999</v>
      </c>
      <c r="M317">
        <v>0.26925865199999999</v>
      </c>
    </row>
    <row r="318" spans="1:13" x14ac:dyDescent="0.3">
      <c r="A318" t="s">
        <v>40</v>
      </c>
      <c r="B318" t="s">
        <v>18</v>
      </c>
      <c r="C318" t="s">
        <v>30</v>
      </c>
      <c r="D318" t="s">
        <v>25</v>
      </c>
      <c r="E318">
        <v>2030</v>
      </c>
      <c r="G318" s="3">
        <f>G317*1.1</f>
        <v>0.29618451720000005</v>
      </c>
      <c r="H318" s="3">
        <f>(0.93*H317)*((0.993)^8)</f>
        <v>14.544840837205397</v>
      </c>
      <c r="I318" s="9">
        <v>2E-3</v>
      </c>
      <c r="J318" s="9">
        <v>3.0000000000000001E-3</v>
      </c>
      <c r="K318" s="9">
        <v>5.44E-4</v>
      </c>
      <c r="L318">
        <v>0.2961845172</v>
      </c>
      <c r="M318">
        <v>0.2961845172</v>
      </c>
    </row>
    <row r="319" spans="1:13" x14ac:dyDescent="0.3">
      <c r="A319" t="s">
        <v>40</v>
      </c>
      <c r="B319" t="s">
        <v>18</v>
      </c>
      <c r="C319" t="s">
        <v>30</v>
      </c>
      <c r="D319" t="s">
        <v>26</v>
      </c>
      <c r="E319">
        <v>2030</v>
      </c>
      <c r="G319" s="3">
        <f>G318*1.07</f>
        <v>0.31691743340400008</v>
      </c>
      <c r="H319" s="3">
        <f>(H317*0.7)*((0.993)^8)</f>
        <v>10.947729662412662</v>
      </c>
      <c r="I319" s="9">
        <v>2E-3</v>
      </c>
      <c r="J319" s="9">
        <v>3.0000000000000001E-3</v>
      </c>
      <c r="K319" s="9">
        <v>5.44E-4</v>
      </c>
      <c r="L319">
        <v>0.3169174334</v>
      </c>
      <c r="M319">
        <v>0.3169174334</v>
      </c>
    </row>
    <row r="320" spans="1:13" x14ac:dyDescent="0.3">
      <c r="A320" t="s">
        <v>40</v>
      </c>
      <c r="B320" t="s">
        <v>18</v>
      </c>
      <c r="C320" t="s">
        <v>30</v>
      </c>
      <c r="D320" t="s">
        <v>11</v>
      </c>
      <c r="E320">
        <v>2030</v>
      </c>
      <c r="F320">
        <f>151.862/2500</f>
        <v>6.0744799999999995E-2</v>
      </c>
      <c r="G320" s="3">
        <f t="shared" si="11"/>
        <v>0.58497242400000005</v>
      </c>
      <c r="H320" s="3">
        <f>0*((0.993)^8)</f>
        <v>0</v>
      </c>
      <c r="I320" s="9">
        <v>2E-3</v>
      </c>
      <c r="J320" s="9">
        <v>3.0000000000000001E-3</v>
      </c>
      <c r="K320" s="9">
        <v>5.44E-4</v>
      </c>
      <c r="L320">
        <v>0.73121552999999995</v>
      </c>
      <c r="M320">
        <v>0.43872931799999998</v>
      </c>
    </row>
    <row r="321" spans="1:13" x14ac:dyDescent="0.3">
      <c r="A321" t="s">
        <v>40</v>
      </c>
      <c r="B321" t="s">
        <v>18</v>
      </c>
      <c r="C321" t="s">
        <v>30</v>
      </c>
      <c r="D321" t="s">
        <v>27</v>
      </c>
      <c r="E321">
        <v>2030</v>
      </c>
      <c r="F321">
        <f>146.845/2500</f>
        <v>5.8737999999999999E-2</v>
      </c>
      <c r="G321" s="3">
        <f t="shared" si="11"/>
        <v>0.56564694000000004</v>
      </c>
      <c r="H321" s="3">
        <f>0*((0.993)^8)</f>
        <v>0</v>
      </c>
      <c r="I321" s="9">
        <v>2E-3</v>
      </c>
      <c r="J321" s="9">
        <v>3.0000000000000001E-3</v>
      </c>
      <c r="K321" s="9">
        <v>5.44E-4</v>
      </c>
      <c r="L321">
        <v>0.70705867499999997</v>
      </c>
      <c r="M321">
        <v>0.424235205</v>
      </c>
    </row>
    <row r="322" spans="1:13" x14ac:dyDescent="0.3">
      <c r="A322" t="s">
        <v>40</v>
      </c>
      <c r="B322" t="s">
        <v>18</v>
      </c>
      <c r="C322" t="s">
        <v>30</v>
      </c>
      <c r="D322" t="s">
        <v>28</v>
      </c>
      <c r="E322">
        <v>2030</v>
      </c>
      <c r="G322" s="3">
        <f>G318*1.24</f>
        <v>0.36726880132800005</v>
      </c>
      <c r="H322" s="3">
        <f>(0.9*H317)*((0.993)^8)</f>
        <v>14.075652423101996</v>
      </c>
      <c r="I322" s="9">
        <v>2E-3</v>
      </c>
      <c r="J322" s="9">
        <v>3.0000000000000001E-3</v>
      </c>
      <c r="K322" s="9">
        <v>5.44E-4</v>
      </c>
      <c r="L322">
        <v>0.45908600170000002</v>
      </c>
      <c r="M322">
        <v>0.27545160099999999</v>
      </c>
    </row>
    <row r="323" spans="1:13" x14ac:dyDescent="0.3">
      <c r="A323" t="s">
        <v>40</v>
      </c>
      <c r="B323" t="s">
        <v>18</v>
      </c>
      <c r="C323" t="s">
        <v>30</v>
      </c>
      <c r="D323" t="s">
        <v>13</v>
      </c>
      <c r="E323">
        <v>2030</v>
      </c>
      <c r="G323" s="3">
        <f>G322*1.05</f>
        <v>0.38563224139440005</v>
      </c>
      <c r="H323" s="3">
        <f>(H317*0.24)*((0.993)^8)</f>
        <v>3.7535073128271987</v>
      </c>
      <c r="I323" s="9">
        <v>2E-3</v>
      </c>
      <c r="J323" s="9">
        <v>3.0000000000000001E-3</v>
      </c>
      <c r="K323" s="9">
        <v>5.44E-4</v>
      </c>
      <c r="L323">
        <v>0.48204030170000001</v>
      </c>
      <c r="M323">
        <v>0.28922418100000002</v>
      </c>
    </row>
    <row r="324" spans="1:13" x14ac:dyDescent="0.3">
      <c r="A324" t="s">
        <v>40</v>
      </c>
      <c r="B324" t="s">
        <v>20</v>
      </c>
      <c r="C324" t="s">
        <v>30</v>
      </c>
      <c r="D324" t="s">
        <v>44</v>
      </c>
      <c r="E324">
        <v>2030</v>
      </c>
      <c r="F324">
        <f>69.901/2500</f>
        <v>2.79604E-2</v>
      </c>
      <c r="G324" s="3">
        <f t="shared" si="11"/>
        <v>0.26925865200000004</v>
      </c>
      <c r="H324" s="3">
        <f>((28/4000)*2500)*((0.993)^8)</f>
        <v>16.543676784811669</v>
      </c>
      <c r="I324" s="9">
        <v>2E-3</v>
      </c>
      <c r="J324" s="9">
        <v>3.0000000000000001E-3</v>
      </c>
      <c r="K324" s="9">
        <v>5.44E-4</v>
      </c>
      <c r="L324">
        <v>0.26925865199999999</v>
      </c>
      <c r="M324">
        <v>0.26925865199999999</v>
      </c>
    </row>
    <row r="325" spans="1:13" x14ac:dyDescent="0.3">
      <c r="A325" t="s">
        <v>40</v>
      </c>
      <c r="B325" t="s">
        <v>20</v>
      </c>
      <c r="C325" t="s">
        <v>30</v>
      </c>
      <c r="D325" t="s">
        <v>25</v>
      </c>
      <c r="E325">
        <v>2030</v>
      </c>
      <c r="G325" s="3">
        <f>G324*1.1</f>
        <v>0.29618451720000005</v>
      </c>
      <c r="H325" s="3">
        <f>(0.93*H324)*((0.993)^8)</f>
        <v>14.544840837205397</v>
      </c>
      <c r="I325" s="9">
        <v>2E-3</v>
      </c>
      <c r="J325" s="9">
        <v>3.0000000000000001E-3</v>
      </c>
      <c r="K325" s="9">
        <v>5.44E-4</v>
      </c>
      <c r="L325">
        <v>0.2961845172</v>
      </c>
      <c r="M325">
        <v>0.2961845172</v>
      </c>
    </row>
    <row r="326" spans="1:13" x14ac:dyDescent="0.3">
      <c r="A326" t="s">
        <v>40</v>
      </c>
      <c r="B326" t="s">
        <v>20</v>
      </c>
      <c r="C326" t="s">
        <v>30</v>
      </c>
      <c r="D326" t="s">
        <v>26</v>
      </c>
      <c r="E326">
        <v>2030</v>
      </c>
      <c r="G326" s="3">
        <f>G325*1.07</f>
        <v>0.31691743340400008</v>
      </c>
      <c r="H326" s="3">
        <f>(H324*0.7)*((0.993)^8)</f>
        <v>10.947729662412662</v>
      </c>
      <c r="I326" s="9">
        <v>2E-3</v>
      </c>
      <c r="J326" s="9">
        <v>3.0000000000000001E-3</v>
      </c>
      <c r="K326" s="9">
        <v>5.44E-4</v>
      </c>
      <c r="L326">
        <v>0.3169174334</v>
      </c>
      <c r="M326">
        <v>0.3169174334</v>
      </c>
    </row>
    <row r="327" spans="1:13" x14ac:dyDescent="0.3">
      <c r="A327" t="s">
        <v>40</v>
      </c>
      <c r="B327" t="s">
        <v>20</v>
      </c>
      <c r="C327" t="s">
        <v>30</v>
      </c>
      <c r="D327" t="s">
        <v>11</v>
      </c>
      <c r="E327">
        <v>2030</v>
      </c>
      <c r="F327">
        <f>151.862/2500</f>
        <v>6.0744799999999995E-2</v>
      </c>
      <c r="G327" s="3">
        <f t="shared" si="11"/>
        <v>0.58497242400000005</v>
      </c>
      <c r="H327" s="3">
        <f>0*((0.993)^8)</f>
        <v>0</v>
      </c>
      <c r="I327" s="9">
        <v>2E-3</v>
      </c>
      <c r="J327" s="9">
        <v>3.0000000000000001E-3</v>
      </c>
      <c r="K327" s="9">
        <v>5.44E-4</v>
      </c>
      <c r="L327">
        <v>0.73121552999999995</v>
      </c>
      <c r="M327">
        <v>0.43872931799999998</v>
      </c>
    </row>
    <row r="328" spans="1:13" x14ac:dyDescent="0.3">
      <c r="A328" t="s">
        <v>40</v>
      </c>
      <c r="B328" t="s">
        <v>20</v>
      </c>
      <c r="C328" t="s">
        <v>30</v>
      </c>
      <c r="D328" t="s">
        <v>27</v>
      </c>
      <c r="E328">
        <v>2030</v>
      </c>
      <c r="F328">
        <f>146.845/2500</f>
        <v>5.8737999999999999E-2</v>
      </c>
      <c r="G328" s="3">
        <f t="shared" si="11"/>
        <v>0.56564694000000004</v>
      </c>
      <c r="H328" s="3">
        <f>0*((0.993)^8)</f>
        <v>0</v>
      </c>
      <c r="I328" s="9">
        <v>2E-3</v>
      </c>
      <c r="J328" s="9">
        <v>3.0000000000000001E-3</v>
      </c>
      <c r="K328" s="9">
        <v>5.44E-4</v>
      </c>
      <c r="L328">
        <v>0.70705867499999997</v>
      </c>
      <c r="M328">
        <v>0.424235205</v>
      </c>
    </row>
    <row r="329" spans="1:13" x14ac:dyDescent="0.3">
      <c r="A329" t="s">
        <v>40</v>
      </c>
      <c r="B329" t="s">
        <v>20</v>
      </c>
      <c r="C329" t="s">
        <v>30</v>
      </c>
      <c r="D329" t="s">
        <v>28</v>
      </c>
      <c r="E329">
        <v>2030</v>
      </c>
      <c r="G329" s="3">
        <f>G325*1.24</f>
        <v>0.36726880132800005</v>
      </c>
      <c r="H329" s="3">
        <f>(0.9*H324)*((0.993)^8)</f>
        <v>14.075652423101996</v>
      </c>
      <c r="I329" s="9">
        <v>2E-3</v>
      </c>
      <c r="J329" s="9">
        <v>3.0000000000000001E-3</v>
      </c>
      <c r="K329" s="9">
        <v>5.44E-4</v>
      </c>
      <c r="L329">
        <v>0.45908600170000002</v>
      </c>
      <c r="M329">
        <v>0.27545160099999999</v>
      </c>
    </row>
    <row r="330" spans="1:13" x14ac:dyDescent="0.3">
      <c r="A330" t="s">
        <v>40</v>
      </c>
      <c r="B330" t="s">
        <v>20</v>
      </c>
      <c r="C330" t="s">
        <v>30</v>
      </c>
      <c r="D330" t="s">
        <v>13</v>
      </c>
      <c r="E330">
        <v>2030</v>
      </c>
      <c r="G330" s="3">
        <f>G329*1.05</f>
        <v>0.38563224139440005</v>
      </c>
      <c r="H330" s="3">
        <f>(H324*0.24)*((0.993)^8)</f>
        <v>3.7535073128271987</v>
      </c>
      <c r="I330" s="9">
        <v>2E-3</v>
      </c>
      <c r="J330" s="9">
        <v>3.0000000000000001E-3</v>
      </c>
      <c r="K330" s="9">
        <v>5.44E-4</v>
      </c>
      <c r="L330">
        <v>0.48204030170000001</v>
      </c>
      <c r="M330">
        <v>0.28922418100000002</v>
      </c>
    </row>
    <row r="331" spans="1:13" x14ac:dyDescent="0.3">
      <c r="A331" t="s">
        <v>40</v>
      </c>
      <c r="B331" t="s">
        <v>22</v>
      </c>
      <c r="C331" t="s">
        <v>31</v>
      </c>
      <c r="D331" t="s">
        <v>44</v>
      </c>
      <c r="E331">
        <v>2030</v>
      </c>
      <c r="F331">
        <f>69.901/17000</f>
        <v>4.1118235294117641E-3</v>
      </c>
      <c r="G331" s="3">
        <f t="shared" si="11"/>
        <v>3.9596860588235291E-2</v>
      </c>
      <c r="H331" s="3">
        <f>((12/15000)*17000)*((0.993)^8)</f>
        <v>12.856800244196499</v>
      </c>
      <c r="I331" s="9">
        <v>2E-3</v>
      </c>
      <c r="J331" s="9">
        <v>3.0000000000000001E-3</v>
      </c>
      <c r="K331" s="9">
        <v>5.44E-4</v>
      </c>
      <c r="L331">
        <v>3.9596860589999998E-2</v>
      </c>
      <c r="M331">
        <v>3.9596860589999998E-2</v>
      </c>
    </row>
    <row r="332" spans="1:13" x14ac:dyDescent="0.3">
      <c r="A332" t="s">
        <v>40</v>
      </c>
      <c r="B332" t="s">
        <v>22</v>
      </c>
      <c r="C332" t="s">
        <v>31</v>
      </c>
      <c r="D332" t="s">
        <v>25</v>
      </c>
      <c r="E332">
        <v>2030</v>
      </c>
      <c r="G332" s="3">
        <f>G331*1.1</f>
        <v>4.3556546647058825E-2</v>
      </c>
      <c r="H332" s="3">
        <f>(0.93*H331)*((0.993)^8)</f>
        <v>11.303419164913908</v>
      </c>
      <c r="I332" s="9">
        <v>2E-3</v>
      </c>
      <c r="J332" s="9">
        <v>3.0000000000000001E-3</v>
      </c>
      <c r="K332" s="9">
        <v>5.44E-4</v>
      </c>
      <c r="L332">
        <v>4.355654665E-2</v>
      </c>
      <c r="M332">
        <v>4.355654665E-2</v>
      </c>
    </row>
    <row r="333" spans="1:13" x14ac:dyDescent="0.3">
      <c r="A333" t="s">
        <v>40</v>
      </c>
      <c r="B333" t="s">
        <v>22</v>
      </c>
      <c r="C333" t="s">
        <v>31</v>
      </c>
      <c r="D333" t="s">
        <v>26</v>
      </c>
      <c r="E333">
        <v>2030</v>
      </c>
      <c r="G333" s="3">
        <f>G332*1.07</f>
        <v>4.6605504912352942E-2</v>
      </c>
      <c r="H333" s="3">
        <f>(H331*0.7)*((0.993)^8)</f>
        <v>8.5079499090749842</v>
      </c>
      <c r="I333" s="9">
        <v>2E-3</v>
      </c>
      <c r="J333" s="9">
        <v>3.0000000000000001E-3</v>
      </c>
      <c r="K333" s="9">
        <v>5.44E-4</v>
      </c>
      <c r="L333">
        <v>4.6605504909999998E-2</v>
      </c>
      <c r="M333">
        <v>4.6605504909999998E-2</v>
      </c>
    </row>
    <row r="334" spans="1:13" x14ac:dyDescent="0.3">
      <c r="A334" t="s">
        <v>40</v>
      </c>
      <c r="B334" t="s">
        <v>22</v>
      </c>
      <c r="C334" t="s">
        <v>31</v>
      </c>
      <c r="D334" t="s">
        <v>11</v>
      </c>
      <c r="E334">
        <v>2030</v>
      </c>
      <c r="F334">
        <f>151.862/17000</f>
        <v>8.933058823529412E-3</v>
      </c>
      <c r="G334" s="3">
        <f t="shared" si="11"/>
        <v>8.6025356470588246E-2</v>
      </c>
      <c r="H334" s="3">
        <f>0*((0.993)^8)</f>
        <v>0</v>
      </c>
      <c r="I334" s="9">
        <v>2E-3</v>
      </c>
      <c r="J334" s="9">
        <v>3.0000000000000001E-3</v>
      </c>
      <c r="K334" s="9">
        <v>5.44E-4</v>
      </c>
      <c r="L334">
        <v>0.1075316956</v>
      </c>
      <c r="M334">
        <v>6.4519017349999999E-2</v>
      </c>
    </row>
    <row r="335" spans="1:13" x14ac:dyDescent="0.3">
      <c r="A335" t="s">
        <v>40</v>
      </c>
      <c r="B335" t="s">
        <v>22</v>
      </c>
      <c r="C335" t="s">
        <v>31</v>
      </c>
      <c r="D335" t="s">
        <v>27</v>
      </c>
      <c r="E335">
        <v>2030</v>
      </c>
      <c r="F335">
        <f>146.845/17000</f>
        <v>8.6379411764705878E-3</v>
      </c>
      <c r="G335" s="3">
        <f t="shared" si="11"/>
        <v>8.3183373529411769E-2</v>
      </c>
      <c r="H335" s="3">
        <f>0*((0.993)^8)</f>
        <v>0</v>
      </c>
      <c r="I335" s="9">
        <v>2E-3</v>
      </c>
      <c r="J335" s="9">
        <v>3.0000000000000001E-3</v>
      </c>
      <c r="K335" s="9">
        <v>5.44E-4</v>
      </c>
      <c r="L335">
        <v>0.1039792169</v>
      </c>
      <c r="M335">
        <v>6.2387530150000002E-2</v>
      </c>
    </row>
    <row r="336" spans="1:13" x14ac:dyDescent="0.3">
      <c r="A336" t="s">
        <v>40</v>
      </c>
      <c r="B336" t="s">
        <v>22</v>
      </c>
      <c r="C336" t="s">
        <v>31</v>
      </c>
      <c r="D336" t="s">
        <v>28</v>
      </c>
      <c r="E336">
        <v>2030</v>
      </c>
      <c r="G336" s="3">
        <f>G332*1.24</f>
        <v>5.4010117842352941E-2</v>
      </c>
      <c r="H336" s="3">
        <f>(0.9*H331)*((0.993)^8)</f>
        <v>10.938792740239267</v>
      </c>
      <c r="I336" s="9">
        <v>2E-3</v>
      </c>
      <c r="J336" s="9">
        <v>3.0000000000000001E-3</v>
      </c>
      <c r="K336" s="9">
        <v>5.44E-4</v>
      </c>
      <c r="L336">
        <v>6.7512647300000006E-2</v>
      </c>
      <c r="M336">
        <v>4.0507588380000001E-2</v>
      </c>
    </row>
    <row r="337" spans="1:13" x14ac:dyDescent="0.3">
      <c r="A337" t="s">
        <v>40</v>
      </c>
      <c r="B337" t="s">
        <v>22</v>
      </c>
      <c r="C337" t="s">
        <v>31</v>
      </c>
      <c r="D337" t="s">
        <v>13</v>
      </c>
      <c r="E337">
        <v>2030</v>
      </c>
      <c r="G337" s="3">
        <f>G336*1.05</f>
        <v>5.671062373447059E-2</v>
      </c>
      <c r="H337" s="3">
        <f>(H331*0.24)*((0.993)^8)</f>
        <v>2.9170113973971374</v>
      </c>
      <c r="I337" s="9">
        <v>2E-3</v>
      </c>
      <c r="J337" s="9">
        <v>3.0000000000000001E-3</v>
      </c>
      <c r="K337" s="9">
        <v>5.44E-4</v>
      </c>
      <c r="L337">
        <v>7.0888279669999998E-2</v>
      </c>
      <c r="M337">
        <v>4.2532967800000002E-2</v>
      </c>
    </row>
    <row r="338" spans="1:13" x14ac:dyDescent="0.3">
      <c r="A338" t="s">
        <v>32</v>
      </c>
      <c r="B338" t="s">
        <v>7</v>
      </c>
      <c r="C338" t="s">
        <v>33</v>
      </c>
      <c r="D338" t="s">
        <v>9</v>
      </c>
      <c r="E338">
        <v>2030</v>
      </c>
      <c r="F338">
        <f>F339*1.2</f>
        <v>1.44E-2</v>
      </c>
      <c r="G338" s="4">
        <f t="shared" si="11"/>
        <v>0.13867200000000002</v>
      </c>
      <c r="H338" s="4">
        <f>18.8*((0.993)^8)</f>
        <v>17.772635631683393</v>
      </c>
      <c r="I338" s="10">
        <v>2E-3</v>
      </c>
      <c r="J338" s="10">
        <v>3.0000000000000001E-3</v>
      </c>
      <c r="K338" s="10">
        <v>5.44E-4</v>
      </c>
      <c r="L338">
        <v>0.13867199999999999</v>
      </c>
      <c r="M338">
        <v>0.13867199999999999</v>
      </c>
    </row>
    <row r="339" spans="1:13" x14ac:dyDescent="0.3">
      <c r="A339" t="s">
        <v>32</v>
      </c>
      <c r="B339" t="s">
        <v>7</v>
      </c>
      <c r="C339" t="s">
        <v>33</v>
      </c>
      <c r="D339" t="s">
        <v>34</v>
      </c>
      <c r="E339">
        <v>2030</v>
      </c>
      <c r="F339">
        <v>1.2E-2</v>
      </c>
      <c r="G339" s="4">
        <f t="shared" si="11"/>
        <v>0.11556000000000001</v>
      </c>
      <c r="H339" s="4">
        <f>0*((0.993)^8)</f>
        <v>0</v>
      </c>
      <c r="I339" s="10">
        <v>2E-3</v>
      </c>
      <c r="J339" s="10">
        <v>3.0000000000000001E-3</v>
      </c>
      <c r="K339" s="10">
        <v>5.44E-4</v>
      </c>
      <c r="L339">
        <v>0.11556</v>
      </c>
      <c r="M339">
        <v>0.11556</v>
      </c>
    </row>
    <row r="340" spans="1:13" x14ac:dyDescent="0.3">
      <c r="A340" t="s">
        <v>32</v>
      </c>
      <c r="B340" t="s">
        <v>7</v>
      </c>
      <c r="C340" t="s">
        <v>33</v>
      </c>
      <c r="D340" t="s">
        <v>35</v>
      </c>
      <c r="E340">
        <v>2030</v>
      </c>
      <c r="F340">
        <f>F338*1.1</f>
        <v>1.584E-2</v>
      </c>
      <c r="G340" s="4">
        <f t="shared" si="11"/>
        <v>0.15253920000000001</v>
      </c>
      <c r="H340" s="4">
        <f>(H338*0.7)*((0.993)^8)</f>
        <v>11.760989580191888</v>
      </c>
      <c r="I340" s="10">
        <v>2E-3</v>
      </c>
      <c r="J340" s="10">
        <v>3.0000000000000001E-3</v>
      </c>
      <c r="K340" s="10">
        <v>5.44E-4</v>
      </c>
      <c r="L340">
        <v>0.19067400000000001</v>
      </c>
      <c r="M340">
        <v>0.1144044</v>
      </c>
    </row>
    <row r="341" spans="1:13" x14ac:dyDescent="0.3">
      <c r="A341" t="s">
        <v>32</v>
      </c>
      <c r="B341" t="s">
        <v>7</v>
      </c>
      <c r="C341" t="s">
        <v>33</v>
      </c>
      <c r="D341" t="s">
        <v>36</v>
      </c>
      <c r="E341">
        <v>2030</v>
      </c>
      <c r="F341">
        <f>F338*1.16</f>
        <v>1.6704E-2</v>
      </c>
      <c r="G341" s="4">
        <f t="shared" si="11"/>
        <v>0.16085952000000001</v>
      </c>
      <c r="H341" s="4">
        <f>0*((0.993)^8)</f>
        <v>0</v>
      </c>
      <c r="I341" s="10">
        <v>2E-3</v>
      </c>
      <c r="J341" s="10">
        <v>3.0000000000000001E-3</v>
      </c>
      <c r="K341" s="10">
        <v>5.44E-4</v>
      </c>
      <c r="L341">
        <v>0.20107439999999999</v>
      </c>
      <c r="M341">
        <v>0.12064464</v>
      </c>
    </row>
    <row r="342" spans="1:13" x14ac:dyDescent="0.3">
      <c r="A342" t="s">
        <v>32</v>
      </c>
      <c r="B342" t="s">
        <v>7</v>
      </c>
      <c r="C342" t="s">
        <v>33</v>
      </c>
      <c r="D342" t="s">
        <v>11</v>
      </c>
      <c r="E342">
        <v>2030</v>
      </c>
      <c r="F342">
        <f>F338*1.6</f>
        <v>2.3040000000000001E-2</v>
      </c>
      <c r="G342" s="4">
        <f t="shared" si="11"/>
        <v>0.22187520000000002</v>
      </c>
      <c r="H342" s="4">
        <f>0*((0.993)^8)</f>
        <v>0</v>
      </c>
      <c r="I342" s="10">
        <v>2E-3</v>
      </c>
      <c r="J342" s="10">
        <v>3.0000000000000001E-3</v>
      </c>
      <c r="K342" s="10">
        <v>5.44E-4</v>
      </c>
      <c r="L342">
        <v>0.27734399999999998</v>
      </c>
      <c r="M342">
        <v>0.16640640000000001</v>
      </c>
    </row>
    <row r="343" spans="1:13" x14ac:dyDescent="0.3">
      <c r="A343" t="s">
        <v>32</v>
      </c>
      <c r="B343" t="s">
        <v>7</v>
      </c>
      <c r="C343" t="s">
        <v>33</v>
      </c>
      <c r="D343" t="s">
        <v>12</v>
      </c>
      <c r="E343">
        <v>2030</v>
      </c>
      <c r="F343">
        <f>F338*1.07</f>
        <v>1.5408E-2</v>
      </c>
      <c r="G343" s="4">
        <f t="shared" si="11"/>
        <v>0.14837904000000002</v>
      </c>
      <c r="H343" s="4">
        <f>(H338*0.2)*((0.993)^8)</f>
        <v>3.3602827371976827</v>
      </c>
      <c r="I343" s="10">
        <v>2E-3</v>
      </c>
      <c r="J343" s="10">
        <v>3.0000000000000001E-3</v>
      </c>
      <c r="K343" s="10">
        <v>5.44E-4</v>
      </c>
      <c r="L343">
        <v>0.18547379999999999</v>
      </c>
      <c r="M343">
        <v>0.11128428</v>
      </c>
    </row>
    <row r="344" spans="1:13" x14ac:dyDescent="0.3">
      <c r="A344" t="s">
        <v>32</v>
      </c>
      <c r="B344" t="s">
        <v>14</v>
      </c>
      <c r="C344" t="s">
        <v>37</v>
      </c>
      <c r="D344" t="s">
        <v>9</v>
      </c>
      <c r="E344">
        <v>2030</v>
      </c>
      <c r="F344">
        <f>F345*1.2</f>
        <v>2.0400000000000001E-2</v>
      </c>
      <c r="G344" s="4">
        <f t="shared" si="11"/>
        <v>0.19645200000000004</v>
      </c>
      <c r="H344" s="4">
        <f>17.9*((0.993)^8)</f>
        <v>16.921817968464506</v>
      </c>
      <c r="I344" s="10">
        <v>2E-3</v>
      </c>
      <c r="J344" s="10">
        <v>3.0000000000000001E-3</v>
      </c>
      <c r="K344" s="10">
        <v>5.44E-4</v>
      </c>
      <c r="L344">
        <v>0.19645199999999999</v>
      </c>
      <c r="M344">
        <v>0.19645199999999999</v>
      </c>
    </row>
    <row r="345" spans="1:13" x14ac:dyDescent="0.3">
      <c r="A345" t="s">
        <v>32</v>
      </c>
      <c r="B345" t="s">
        <v>14</v>
      </c>
      <c r="C345" t="s">
        <v>37</v>
      </c>
      <c r="D345" t="s">
        <v>34</v>
      </c>
      <c r="E345">
        <v>2030</v>
      </c>
      <c r="F345">
        <v>1.7000000000000001E-2</v>
      </c>
      <c r="G345" s="4">
        <f t="shared" ref="G345:G379" si="12">F345*$Q$2</f>
        <v>0.16371000000000002</v>
      </c>
      <c r="H345" s="4">
        <f>0*((0.993)^8)</f>
        <v>0</v>
      </c>
      <c r="I345" s="10">
        <v>2E-3</v>
      </c>
      <c r="J345" s="10">
        <v>3.0000000000000001E-3</v>
      </c>
      <c r="K345" s="10">
        <v>5.44E-4</v>
      </c>
      <c r="L345">
        <v>0.16370999999999999</v>
      </c>
      <c r="M345">
        <v>0.16370999999999999</v>
      </c>
    </row>
    <row r="346" spans="1:13" x14ac:dyDescent="0.3">
      <c r="A346" t="s">
        <v>32</v>
      </c>
      <c r="B346" t="s">
        <v>14</v>
      </c>
      <c r="C346" t="s">
        <v>37</v>
      </c>
      <c r="D346" t="s">
        <v>35</v>
      </c>
      <c r="E346">
        <v>2030</v>
      </c>
      <c r="F346">
        <f>F344*1.1</f>
        <v>2.2440000000000005E-2</v>
      </c>
      <c r="G346" s="4">
        <f t="shared" si="12"/>
        <v>0.21609720000000007</v>
      </c>
      <c r="H346" s="4">
        <f>(H344*0.7)*((0.993)^8)</f>
        <v>11.197963483267808</v>
      </c>
      <c r="I346" s="10">
        <v>2E-3</v>
      </c>
      <c r="J346" s="10">
        <v>3.0000000000000001E-3</v>
      </c>
      <c r="K346" s="10">
        <v>5.44E-4</v>
      </c>
      <c r="L346">
        <v>0.27012150000000001</v>
      </c>
      <c r="M346">
        <v>0.16207289999999999</v>
      </c>
    </row>
    <row r="347" spans="1:13" x14ac:dyDescent="0.3">
      <c r="A347" t="s">
        <v>32</v>
      </c>
      <c r="B347" t="s">
        <v>14</v>
      </c>
      <c r="C347" t="s">
        <v>37</v>
      </c>
      <c r="D347" t="s">
        <v>36</v>
      </c>
      <c r="E347">
        <v>2030</v>
      </c>
      <c r="F347">
        <f>F344*1.16</f>
        <v>2.3664000000000001E-2</v>
      </c>
      <c r="G347" s="4">
        <f t="shared" si="12"/>
        <v>0.22788432000000003</v>
      </c>
      <c r="H347" s="4">
        <f>0*((0.993)^8)</f>
        <v>0</v>
      </c>
      <c r="I347" s="10">
        <v>2E-3</v>
      </c>
      <c r="J347" s="10">
        <v>3.0000000000000001E-3</v>
      </c>
      <c r="K347" s="10">
        <v>5.44E-4</v>
      </c>
      <c r="L347">
        <v>0.28485539999999998</v>
      </c>
      <c r="M347">
        <v>0.17091323999999999</v>
      </c>
    </row>
    <row r="348" spans="1:13" x14ac:dyDescent="0.3">
      <c r="A348" t="s">
        <v>32</v>
      </c>
      <c r="B348" t="s">
        <v>14</v>
      </c>
      <c r="C348" t="s">
        <v>37</v>
      </c>
      <c r="D348" t="s">
        <v>11</v>
      </c>
      <c r="E348">
        <v>2030</v>
      </c>
      <c r="F348">
        <f>F344*1.6</f>
        <v>3.2640000000000002E-2</v>
      </c>
      <c r="G348" s="4">
        <f t="shared" si="12"/>
        <v>0.31432320000000002</v>
      </c>
      <c r="H348" s="4">
        <f>0*((0.993)^8)</f>
        <v>0</v>
      </c>
      <c r="I348" s="10">
        <v>2E-3</v>
      </c>
      <c r="J348" s="10">
        <v>3.0000000000000001E-3</v>
      </c>
      <c r="K348" s="10">
        <v>5.44E-4</v>
      </c>
      <c r="L348">
        <v>0.39290399999999998</v>
      </c>
      <c r="M348">
        <v>0.23574239999999999</v>
      </c>
    </row>
    <row r="349" spans="1:13" x14ac:dyDescent="0.3">
      <c r="A349" t="s">
        <v>32</v>
      </c>
      <c r="B349" t="s">
        <v>14</v>
      </c>
      <c r="C349" t="s">
        <v>37</v>
      </c>
      <c r="D349" t="s">
        <v>12</v>
      </c>
      <c r="E349">
        <v>2030</v>
      </c>
      <c r="F349">
        <f>F344*1.07</f>
        <v>2.1828000000000004E-2</v>
      </c>
      <c r="G349" s="4">
        <f t="shared" si="12"/>
        <v>0.21020364000000005</v>
      </c>
      <c r="H349" s="4">
        <f>(H344*0.2)*((0.993)^8)</f>
        <v>3.199418138076517</v>
      </c>
      <c r="I349" s="10">
        <v>2E-3</v>
      </c>
      <c r="J349" s="10">
        <v>3.0000000000000001E-3</v>
      </c>
      <c r="K349" s="10">
        <v>5.44E-4</v>
      </c>
      <c r="L349">
        <v>0.26275454999999998</v>
      </c>
      <c r="M349">
        <v>0.15765272999999999</v>
      </c>
    </row>
    <row r="350" spans="1:13" x14ac:dyDescent="0.3">
      <c r="A350" t="s">
        <v>32</v>
      </c>
      <c r="B350" t="s">
        <v>16</v>
      </c>
      <c r="C350" t="s">
        <v>37</v>
      </c>
      <c r="D350" t="s">
        <v>9</v>
      </c>
      <c r="E350">
        <v>2030</v>
      </c>
      <c r="F350">
        <f>F351*1.2</f>
        <v>2.0400000000000001E-2</v>
      </c>
      <c r="G350" s="4">
        <f t="shared" si="12"/>
        <v>0.19645200000000004</v>
      </c>
      <c r="H350" s="4">
        <f>17.9*((0.993)^8)</f>
        <v>16.921817968464506</v>
      </c>
      <c r="I350" s="10">
        <v>2E-3</v>
      </c>
      <c r="J350" s="10">
        <v>3.0000000000000001E-3</v>
      </c>
      <c r="K350" s="10">
        <v>5.44E-4</v>
      </c>
      <c r="L350">
        <v>0.19645199999999999</v>
      </c>
      <c r="M350">
        <v>0.19645199999999999</v>
      </c>
    </row>
    <row r="351" spans="1:13" x14ac:dyDescent="0.3">
      <c r="A351" t="s">
        <v>32</v>
      </c>
      <c r="B351" t="s">
        <v>16</v>
      </c>
      <c r="C351" t="s">
        <v>37</v>
      </c>
      <c r="D351" t="s">
        <v>34</v>
      </c>
      <c r="E351">
        <v>2030</v>
      </c>
      <c r="F351">
        <v>1.7000000000000001E-2</v>
      </c>
      <c r="G351" s="4">
        <f t="shared" si="12"/>
        <v>0.16371000000000002</v>
      </c>
      <c r="H351" s="4">
        <f>0*((0.993)^8)</f>
        <v>0</v>
      </c>
      <c r="I351" s="10">
        <v>2E-3</v>
      </c>
      <c r="J351" s="10">
        <v>3.0000000000000001E-3</v>
      </c>
      <c r="K351" s="10">
        <v>5.44E-4</v>
      </c>
      <c r="L351">
        <v>0.16370999999999999</v>
      </c>
      <c r="M351">
        <v>0.16370999999999999</v>
      </c>
    </row>
    <row r="352" spans="1:13" x14ac:dyDescent="0.3">
      <c r="A352" t="s">
        <v>32</v>
      </c>
      <c r="B352" t="s">
        <v>16</v>
      </c>
      <c r="C352" t="s">
        <v>37</v>
      </c>
      <c r="D352" t="s">
        <v>35</v>
      </c>
      <c r="E352">
        <v>2030</v>
      </c>
      <c r="F352">
        <f>F350*1.1</f>
        <v>2.2440000000000005E-2</v>
      </c>
      <c r="G352" s="4">
        <f t="shared" si="12"/>
        <v>0.21609720000000007</v>
      </c>
      <c r="H352" s="4">
        <f>(H350*0.7)*((0.993)^8)</f>
        <v>11.197963483267808</v>
      </c>
      <c r="I352" s="10">
        <v>2E-3</v>
      </c>
      <c r="J352" s="10">
        <v>3.0000000000000001E-3</v>
      </c>
      <c r="K352" s="10">
        <v>5.44E-4</v>
      </c>
      <c r="L352">
        <v>0.27012150000000001</v>
      </c>
      <c r="M352">
        <v>0.16207289999999999</v>
      </c>
    </row>
    <row r="353" spans="1:13" x14ac:dyDescent="0.3">
      <c r="A353" t="s">
        <v>32</v>
      </c>
      <c r="B353" t="s">
        <v>16</v>
      </c>
      <c r="C353" t="s">
        <v>37</v>
      </c>
      <c r="D353" t="s">
        <v>36</v>
      </c>
      <c r="E353">
        <v>2030</v>
      </c>
      <c r="F353">
        <f>F350*1.16</f>
        <v>2.3664000000000001E-2</v>
      </c>
      <c r="G353" s="4">
        <f t="shared" si="12"/>
        <v>0.22788432000000003</v>
      </c>
      <c r="H353" s="4">
        <f>0*((0.993)^8)</f>
        <v>0</v>
      </c>
      <c r="I353" s="10">
        <v>2E-3</v>
      </c>
      <c r="J353" s="10">
        <v>3.0000000000000001E-3</v>
      </c>
      <c r="K353" s="10">
        <v>5.44E-4</v>
      </c>
      <c r="L353">
        <v>0.28485539999999998</v>
      </c>
      <c r="M353">
        <v>0.17091323999999999</v>
      </c>
    </row>
    <row r="354" spans="1:13" x14ac:dyDescent="0.3">
      <c r="A354" t="s">
        <v>32</v>
      </c>
      <c r="B354" t="s">
        <v>16</v>
      </c>
      <c r="C354" t="s">
        <v>37</v>
      </c>
      <c r="D354" t="s">
        <v>11</v>
      </c>
      <c r="E354">
        <v>2030</v>
      </c>
      <c r="F354">
        <f>F350*1.6</f>
        <v>3.2640000000000002E-2</v>
      </c>
      <c r="G354" s="4">
        <f t="shared" si="12"/>
        <v>0.31432320000000002</v>
      </c>
      <c r="H354" s="4">
        <f>0*((0.993)^8)</f>
        <v>0</v>
      </c>
      <c r="I354" s="10">
        <v>2E-3</v>
      </c>
      <c r="J354" s="10">
        <v>3.0000000000000001E-3</v>
      </c>
      <c r="K354" s="10">
        <v>5.44E-4</v>
      </c>
      <c r="L354">
        <v>0.39290399999999998</v>
      </c>
      <c r="M354">
        <v>0.23574239999999999</v>
      </c>
    </row>
    <row r="355" spans="1:13" x14ac:dyDescent="0.3">
      <c r="A355" t="s">
        <v>32</v>
      </c>
      <c r="B355" t="s">
        <v>16</v>
      </c>
      <c r="C355" t="s">
        <v>37</v>
      </c>
      <c r="D355" t="s">
        <v>12</v>
      </c>
      <c r="E355">
        <v>2030</v>
      </c>
      <c r="F355">
        <f>F350*1.07</f>
        <v>2.1828000000000004E-2</v>
      </c>
      <c r="G355" s="4">
        <f t="shared" si="12"/>
        <v>0.21020364000000005</v>
      </c>
      <c r="H355" s="4">
        <f>(H350*0.2)*((0.993)^8)</f>
        <v>3.199418138076517</v>
      </c>
      <c r="I355" s="10">
        <v>2E-3</v>
      </c>
      <c r="J355" s="10">
        <v>3.0000000000000001E-3</v>
      </c>
      <c r="K355" s="10">
        <v>5.44E-4</v>
      </c>
      <c r="L355">
        <v>0.26275454999999998</v>
      </c>
      <c r="M355">
        <v>0.15765272999999999</v>
      </c>
    </row>
    <row r="356" spans="1:13" x14ac:dyDescent="0.3">
      <c r="A356" t="s">
        <v>32</v>
      </c>
      <c r="B356" t="s">
        <v>65</v>
      </c>
      <c r="C356" t="s">
        <v>37</v>
      </c>
      <c r="D356" t="s">
        <v>9</v>
      </c>
      <c r="E356">
        <v>2030</v>
      </c>
      <c r="F356">
        <f>F357*1.2</f>
        <v>2.0400000000000001E-2</v>
      </c>
      <c r="G356" s="4">
        <f t="shared" si="12"/>
        <v>0.19645200000000004</v>
      </c>
      <c r="H356" s="4">
        <f>17.9*((0.993)^8)</f>
        <v>16.921817968464506</v>
      </c>
      <c r="I356" s="10">
        <v>2E-3</v>
      </c>
      <c r="J356" s="10">
        <v>3.0000000000000001E-3</v>
      </c>
      <c r="K356" s="10">
        <v>5.44E-4</v>
      </c>
      <c r="L356">
        <v>0.19645199999999999</v>
      </c>
      <c r="M356">
        <v>0.19645199999999999</v>
      </c>
    </row>
    <row r="357" spans="1:13" x14ac:dyDescent="0.3">
      <c r="A357" t="s">
        <v>32</v>
      </c>
      <c r="B357" t="s">
        <v>65</v>
      </c>
      <c r="C357" t="s">
        <v>37</v>
      </c>
      <c r="D357" t="s">
        <v>34</v>
      </c>
      <c r="E357">
        <v>2030</v>
      </c>
      <c r="F357">
        <v>1.7000000000000001E-2</v>
      </c>
      <c r="G357" s="4">
        <f t="shared" si="12"/>
        <v>0.16371000000000002</v>
      </c>
      <c r="H357" s="4">
        <f>0*((0.993)^8)</f>
        <v>0</v>
      </c>
      <c r="I357" s="10">
        <v>2E-3</v>
      </c>
      <c r="J357" s="10">
        <v>3.0000000000000001E-3</v>
      </c>
      <c r="K357" s="10">
        <v>5.44E-4</v>
      </c>
      <c r="L357">
        <v>0.16370999999999999</v>
      </c>
      <c r="M357">
        <v>0.16370999999999999</v>
      </c>
    </row>
    <row r="358" spans="1:13" x14ac:dyDescent="0.3">
      <c r="A358" t="s">
        <v>32</v>
      </c>
      <c r="B358" t="s">
        <v>65</v>
      </c>
      <c r="C358" t="s">
        <v>37</v>
      </c>
      <c r="D358" t="s">
        <v>35</v>
      </c>
      <c r="E358">
        <v>2030</v>
      </c>
      <c r="F358">
        <f>F356*1.1</f>
        <v>2.2440000000000005E-2</v>
      </c>
      <c r="G358" s="4">
        <f t="shared" si="12"/>
        <v>0.21609720000000007</v>
      </c>
      <c r="H358" s="4">
        <f>(H356*0.7)*((0.993)^8)</f>
        <v>11.197963483267808</v>
      </c>
      <c r="I358" s="10">
        <v>2E-3</v>
      </c>
      <c r="J358" s="10">
        <v>3.0000000000000001E-3</v>
      </c>
      <c r="K358" s="10">
        <v>5.44E-4</v>
      </c>
      <c r="L358">
        <v>0.27012150000000001</v>
      </c>
      <c r="M358">
        <v>0.16207289999999999</v>
      </c>
    </row>
    <row r="359" spans="1:13" x14ac:dyDescent="0.3">
      <c r="A359" t="s">
        <v>32</v>
      </c>
      <c r="B359" t="s">
        <v>65</v>
      </c>
      <c r="C359" t="s">
        <v>37</v>
      </c>
      <c r="D359" t="s">
        <v>36</v>
      </c>
      <c r="E359">
        <v>2030</v>
      </c>
      <c r="F359">
        <f>F356*1.16</f>
        <v>2.3664000000000001E-2</v>
      </c>
      <c r="G359" s="4">
        <f t="shared" si="12"/>
        <v>0.22788432000000003</v>
      </c>
      <c r="H359" s="4">
        <f>0*((0.993)^8)</f>
        <v>0</v>
      </c>
      <c r="I359" s="10">
        <v>2E-3</v>
      </c>
      <c r="J359" s="10">
        <v>3.0000000000000001E-3</v>
      </c>
      <c r="K359" s="10">
        <v>5.44E-4</v>
      </c>
      <c r="L359">
        <v>0.28485539999999998</v>
      </c>
      <c r="M359">
        <v>0.17091323999999999</v>
      </c>
    </row>
    <row r="360" spans="1:13" x14ac:dyDescent="0.3">
      <c r="A360" t="s">
        <v>32</v>
      </c>
      <c r="B360" t="s">
        <v>65</v>
      </c>
      <c r="C360" t="s">
        <v>37</v>
      </c>
      <c r="D360" t="s">
        <v>11</v>
      </c>
      <c r="E360">
        <v>2030</v>
      </c>
      <c r="F360">
        <f>F356*1.6</f>
        <v>3.2640000000000002E-2</v>
      </c>
      <c r="G360" s="4">
        <f t="shared" si="12"/>
        <v>0.31432320000000002</v>
      </c>
      <c r="H360" s="4">
        <f>0*((0.993)^8)</f>
        <v>0</v>
      </c>
      <c r="I360" s="10">
        <v>2E-3</v>
      </c>
      <c r="J360" s="10">
        <v>3.0000000000000001E-3</v>
      </c>
      <c r="K360" s="10">
        <v>5.44E-4</v>
      </c>
      <c r="L360">
        <v>0.39290399999999998</v>
      </c>
      <c r="M360">
        <v>0.23574239999999999</v>
      </c>
    </row>
    <row r="361" spans="1:13" x14ac:dyDescent="0.3">
      <c r="A361" t="s">
        <v>32</v>
      </c>
      <c r="B361" t="s">
        <v>65</v>
      </c>
      <c r="C361" t="s">
        <v>37</v>
      </c>
      <c r="D361" t="s">
        <v>12</v>
      </c>
      <c r="E361">
        <v>2030</v>
      </c>
      <c r="F361">
        <f>F356*1.07</f>
        <v>2.1828000000000004E-2</v>
      </c>
      <c r="G361" s="4">
        <f t="shared" si="12"/>
        <v>0.21020364000000005</v>
      </c>
      <c r="H361" s="4">
        <f>(H356*0.2)*((0.993)^8)</f>
        <v>3.199418138076517</v>
      </c>
      <c r="I361" s="10">
        <v>2E-3</v>
      </c>
      <c r="J361" s="10">
        <v>3.0000000000000001E-3</v>
      </c>
      <c r="K361" s="10">
        <v>5.44E-4</v>
      </c>
      <c r="L361">
        <v>0.26275454999999998</v>
      </c>
      <c r="M361">
        <v>0.15765272999999999</v>
      </c>
    </row>
    <row r="362" spans="1:13" x14ac:dyDescent="0.3">
      <c r="A362" t="s">
        <v>32</v>
      </c>
      <c r="B362" t="s">
        <v>18</v>
      </c>
      <c r="C362" t="s">
        <v>37</v>
      </c>
      <c r="D362" t="s">
        <v>9</v>
      </c>
      <c r="E362">
        <v>2030</v>
      </c>
      <c r="F362">
        <f>F363*1.2</f>
        <v>2.0400000000000001E-2</v>
      </c>
      <c r="G362" s="4">
        <f t="shared" si="12"/>
        <v>0.19645200000000004</v>
      </c>
      <c r="H362" s="4">
        <f>17.9*((0.993)^8)</f>
        <v>16.921817968464506</v>
      </c>
      <c r="I362" s="10">
        <v>2E-3</v>
      </c>
      <c r="J362" s="10">
        <v>3.0000000000000001E-3</v>
      </c>
      <c r="K362" s="10">
        <v>5.44E-4</v>
      </c>
      <c r="L362">
        <v>0.19645199999999999</v>
      </c>
      <c r="M362">
        <v>0.19645199999999999</v>
      </c>
    </row>
    <row r="363" spans="1:13" x14ac:dyDescent="0.3">
      <c r="A363" t="s">
        <v>32</v>
      </c>
      <c r="B363" t="s">
        <v>18</v>
      </c>
      <c r="C363" t="s">
        <v>37</v>
      </c>
      <c r="D363" t="s">
        <v>34</v>
      </c>
      <c r="E363">
        <v>2030</v>
      </c>
      <c r="F363">
        <v>1.7000000000000001E-2</v>
      </c>
      <c r="G363" s="4">
        <f t="shared" si="12"/>
        <v>0.16371000000000002</v>
      </c>
      <c r="H363" s="4">
        <f>0*((0.993)^8)</f>
        <v>0</v>
      </c>
      <c r="I363" s="10">
        <v>2E-3</v>
      </c>
      <c r="J363" s="10">
        <v>3.0000000000000001E-3</v>
      </c>
      <c r="K363" s="10">
        <v>5.44E-4</v>
      </c>
      <c r="L363">
        <v>0.16370999999999999</v>
      </c>
      <c r="M363">
        <v>0.16370999999999999</v>
      </c>
    </row>
    <row r="364" spans="1:13" x14ac:dyDescent="0.3">
      <c r="A364" t="s">
        <v>32</v>
      </c>
      <c r="B364" t="s">
        <v>18</v>
      </c>
      <c r="C364" t="s">
        <v>37</v>
      </c>
      <c r="D364" t="s">
        <v>35</v>
      </c>
      <c r="E364">
        <v>2030</v>
      </c>
      <c r="F364">
        <f>F362*1.1</f>
        <v>2.2440000000000005E-2</v>
      </c>
      <c r="G364" s="4">
        <f t="shared" si="12"/>
        <v>0.21609720000000007</v>
      </c>
      <c r="H364" s="4">
        <f>(H362*0.7)*((0.993)^8)</f>
        <v>11.197963483267808</v>
      </c>
      <c r="I364" s="10">
        <v>2E-3</v>
      </c>
      <c r="J364" s="10">
        <v>3.0000000000000001E-3</v>
      </c>
      <c r="K364" s="10">
        <v>5.44E-4</v>
      </c>
      <c r="L364">
        <v>0.27012150000000001</v>
      </c>
      <c r="M364">
        <v>0.16207289999999999</v>
      </c>
    </row>
    <row r="365" spans="1:13" x14ac:dyDescent="0.3">
      <c r="A365" t="s">
        <v>32</v>
      </c>
      <c r="B365" t="s">
        <v>18</v>
      </c>
      <c r="C365" t="s">
        <v>37</v>
      </c>
      <c r="D365" t="s">
        <v>36</v>
      </c>
      <c r="E365">
        <v>2030</v>
      </c>
      <c r="F365">
        <f>F362*1.16</f>
        <v>2.3664000000000001E-2</v>
      </c>
      <c r="G365" s="4">
        <f t="shared" si="12"/>
        <v>0.22788432000000003</v>
      </c>
      <c r="H365" s="4">
        <f>0*((0.993)^8)</f>
        <v>0</v>
      </c>
      <c r="I365" s="10">
        <v>2E-3</v>
      </c>
      <c r="J365" s="10">
        <v>3.0000000000000001E-3</v>
      </c>
      <c r="K365" s="10">
        <v>5.44E-4</v>
      </c>
      <c r="L365">
        <v>0.28485539999999998</v>
      </c>
      <c r="M365">
        <v>0.17091323999999999</v>
      </c>
    </row>
    <row r="366" spans="1:13" x14ac:dyDescent="0.3">
      <c r="A366" t="s">
        <v>32</v>
      </c>
      <c r="B366" t="s">
        <v>18</v>
      </c>
      <c r="C366" t="s">
        <v>37</v>
      </c>
      <c r="D366" t="s">
        <v>11</v>
      </c>
      <c r="E366">
        <v>2030</v>
      </c>
      <c r="F366">
        <f>F362*1.6</f>
        <v>3.2640000000000002E-2</v>
      </c>
      <c r="G366" s="4">
        <f t="shared" si="12"/>
        <v>0.31432320000000002</v>
      </c>
      <c r="H366" s="4">
        <f>0*((0.993)^8)</f>
        <v>0</v>
      </c>
      <c r="I366" s="10">
        <v>2E-3</v>
      </c>
      <c r="J366" s="10">
        <v>3.0000000000000001E-3</v>
      </c>
      <c r="K366" s="10">
        <v>5.44E-4</v>
      </c>
      <c r="L366">
        <v>0.39290399999999998</v>
      </c>
      <c r="M366">
        <v>0.23574239999999999</v>
      </c>
    </row>
    <row r="367" spans="1:13" x14ac:dyDescent="0.3">
      <c r="A367" t="s">
        <v>32</v>
      </c>
      <c r="B367" t="s">
        <v>18</v>
      </c>
      <c r="C367" t="s">
        <v>37</v>
      </c>
      <c r="D367" t="s">
        <v>12</v>
      </c>
      <c r="E367">
        <v>2030</v>
      </c>
      <c r="F367">
        <f>F362*1.07</f>
        <v>2.1828000000000004E-2</v>
      </c>
      <c r="G367" s="4">
        <f t="shared" si="12"/>
        <v>0.21020364000000005</v>
      </c>
      <c r="H367" s="4">
        <f>(H362*0.2)*((0.993)^8)</f>
        <v>3.199418138076517</v>
      </c>
      <c r="I367" s="10">
        <v>2E-3</v>
      </c>
      <c r="J367" s="10">
        <v>3.0000000000000001E-3</v>
      </c>
      <c r="K367" s="10">
        <v>5.44E-4</v>
      </c>
      <c r="L367">
        <v>0.26275454999999998</v>
      </c>
      <c r="M367">
        <v>0.15765272999999999</v>
      </c>
    </row>
    <row r="368" spans="1:13" x14ac:dyDescent="0.3">
      <c r="A368" t="s">
        <v>32</v>
      </c>
      <c r="B368" t="s">
        <v>20</v>
      </c>
      <c r="C368" t="s">
        <v>38</v>
      </c>
      <c r="D368" t="s">
        <v>9</v>
      </c>
      <c r="E368">
        <v>2030</v>
      </c>
      <c r="F368">
        <f>F369*1.2</f>
        <v>2.0400000000000001E-2</v>
      </c>
      <c r="G368" s="4">
        <f t="shared" si="12"/>
        <v>0.19645200000000004</v>
      </c>
      <c r="H368" s="4">
        <f>30.8*((0.993)^8)</f>
        <v>29.11687114126854</v>
      </c>
      <c r="I368" s="10">
        <v>2E-3</v>
      </c>
      <c r="J368" s="10">
        <v>3.0000000000000001E-3</v>
      </c>
      <c r="K368" s="10">
        <v>5.44E-4</v>
      </c>
      <c r="L368">
        <v>0.19645199999999999</v>
      </c>
      <c r="M368">
        <v>0.19645199999999999</v>
      </c>
    </row>
    <row r="369" spans="1:13" x14ac:dyDescent="0.3">
      <c r="A369" t="s">
        <v>32</v>
      </c>
      <c r="B369" t="s">
        <v>20</v>
      </c>
      <c r="C369" t="s">
        <v>38</v>
      </c>
      <c r="D369" t="s">
        <v>34</v>
      </c>
      <c r="E369">
        <v>2030</v>
      </c>
      <c r="F369">
        <v>1.7000000000000001E-2</v>
      </c>
      <c r="G369" s="4">
        <f t="shared" si="12"/>
        <v>0.16371000000000002</v>
      </c>
      <c r="H369" s="4">
        <f>0*((0.993)^8)</f>
        <v>0</v>
      </c>
      <c r="I369" s="10">
        <v>2E-3</v>
      </c>
      <c r="J369" s="10">
        <v>3.0000000000000001E-3</v>
      </c>
      <c r="K369" s="10">
        <v>5.44E-4</v>
      </c>
      <c r="L369">
        <v>0.16370999999999999</v>
      </c>
      <c r="M369">
        <v>0.16370999999999999</v>
      </c>
    </row>
    <row r="370" spans="1:13" x14ac:dyDescent="0.3">
      <c r="A370" t="s">
        <v>32</v>
      </c>
      <c r="B370" t="s">
        <v>20</v>
      </c>
      <c r="C370" t="s">
        <v>38</v>
      </c>
      <c r="D370" t="s">
        <v>35</v>
      </c>
      <c r="E370">
        <v>2030</v>
      </c>
      <c r="F370">
        <f>F368*1.1</f>
        <v>2.2440000000000005E-2</v>
      </c>
      <c r="G370" s="4">
        <f t="shared" si="12"/>
        <v>0.21609720000000007</v>
      </c>
      <c r="H370" s="4">
        <f>(H368*0.7)*((0.993)^8)</f>
        <v>19.268004205846285</v>
      </c>
      <c r="I370" s="10">
        <v>2E-3</v>
      </c>
      <c r="J370" s="10">
        <v>3.0000000000000001E-3</v>
      </c>
      <c r="K370" s="10">
        <v>5.44E-4</v>
      </c>
      <c r="L370">
        <v>0.27012150000000001</v>
      </c>
      <c r="M370">
        <v>0.16207289999999999</v>
      </c>
    </row>
    <row r="371" spans="1:13" x14ac:dyDescent="0.3">
      <c r="A371" t="s">
        <v>32</v>
      </c>
      <c r="B371" t="s">
        <v>20</v>
      </c>
      <c r="C371" t="s">
        <v>38</v>
      </c>
      <c r="D371" t="s">
        <v>36</v>
      </c>
      <c r="E371">
        <v>2030</v>
      </c>
      <c r="F371">
        <f>F368*1.16</f>
        <v>2.3664000000000001E-2</v>
      </c>
      <c r="G371" s="4">
        <f t="shared" si="12"/>
        <v>0.22788432000000003</v>
      </c>
      <c r="H371" s="4">
        <f>0*((0.993)^8)</f>
        <v>0</v>
      </c>
      <c r="I371" s="10">
        <v>2E-3</v>
      </c>
      <c r="J371" s="10">
        <v>3.0000000000000001E-3</v>
      </c>
      <c r="K371" s="10">
        <v>5.44E-4</v>
      </c>
      <c r="L371">
        <v>0.28485539999999998</v>
      </c>
      <c r="M371">
        <v>0.17091323999999999</v>
      </c>
    </row>
    <row r="372" spans="1:13" x14ac:dyDescent="0.3">
      <c r="A372" t="s">
        <v>32</v>
      </c>
      <c r="B372" t="s">
        <v>20</v>
      </c>
      <c r="C372" t="s">
        <v>38</v>
      </c>
      <c r="D372" t="s">
        <v>11</v>
      </c>
      <c r="E372">
        <v>2030</v>
      </c>
      <c r="F372">
        <f>F368*1.6</f>
        <v>3.2640000000000002E-2</v>
      </c>
      <c r="G372" s="4">
        <f t="shared" si="12"/>
        <v>0.31432320000000002</v>
      </c>
      <c r="H372" s="4">
        <f>0*((0.993)^8)</f>
        <v>0</v>
      </c>
      <c r="I372" s="10">
        <v>2E-3</v>
      </c>
      <c r="J372" s="10">
        <v>3.0000000000000001E-3</v>
      </c>
      <c r="K372" s="10">
        <v>5.44E-4</v>
      </c>
      <c r="L372">
        <v>0.39290399999999998</v>
      </c>
      <c r="M372">
        <v>0.23574239999999999</v>
      </c>
    </row>
    <row r="373" spans="1:13" x14ac:dyDescent="0.3">
      <c r="A373" t="s">
        <v>32</v>
      </c>
      <c r="B373" t="s">
        <v>20</v>
      </c>
      <c r="C373" t="s">
        <v>38</v>
      </c>
      <c r="D373" t="s">
        <v>12</v>
      </c>
      <c r="E373">
        <v>2030</v>
      </c>
      <c r="F373">
        <f>F368*1.07</f>
        <v>2.1828000000000004E-2</v>
      </c>
      <c r="G373" s="4">
        <f t="shared" si="12"/>
        <v>0.21020364000000005</v>
      </c>
      <c r="H373" s="4">
        <f>(H368*0.3)*((0.993)^8)</f>
        <v>8.257716088219837</v>
      </c>
      <c r="I373" s="10">
        <v>2E-3</v>
      </c>
      <c r="J373" s="10">
        <v>3.0000000000000001E-3</v>
      </c>
      <c r="K373" s="10">
        <v>5.44E-4</v>
      </c>
      <c r="L373">
        <v>0.26275454999999998</v>
      </c>
      <c r="M373">
        <v>0.15765272999999999</v>
      </c>
    </row>
    <row r="374" spans="1:13" x14ac:dyDescent="0.3">
      <c r="A374" t="s">
        <v>32</v>
      </c>
      <c r="B374" t="s">
        <v>22</v>
      </c>
      <c r="C374" t="s">
        <v>39</v>
      </c>
      <c r="D374" t="s">
        <v>9</v>
      </c>
      <c r="E374">
        <v>2030</v>
      </c>
      <c r="F374">
        <f>F375*1.2</f>
        <v>1.7999999999999999E-2</v>
      </c>
      <c r="G374" s="4">
        <f t="shared" si="12"/>
        <v>0.17333999999999999</v>
      </c>
      <c r="H374" s="4">
        <f>25.5*((0.993)^8)</f>
        <v>24.106500457868432</v>
      </c>
      <c r="I374" s="10">
        <v>2E-3</v>
      </c>
      <c r="J374" s="10">
        <v>3.0000000000000001E-3</v>
      </c>
      <c r="K374" s="10">
        <v>5.44E-4</v>
      </c>
      <c r="L374">
        <v>0.17333999999999999</v>
      </c>
      <c r="M374">
        <v>0.17333999999999999</v>
      </c>
    </row>
    <row r="375" spans="1:13" x14ac:dyDescent="0.3">
      <c r="A375" t="s">
        <v>32</v>
      </c>
      <c r="B375" t="s">
        <v>22</v>
      </c>
      <c r="C375" t="s">
        <v>39</v>
      </c>
      <c r="D375" t="s">
        <v>34</v>
      </c>
      <c r="E375">
        <v>2030</v>
      </c>
      <c r="F375">
        <v>1.4999999999999999E-2</v>
      </c>
      <c r="G375" s="4">
        <f t="shared" si="12"/>
        <v>0.14445</v>
      </c>
      <c r="H375" s="4">
        <f>0*((0.993)^8)</f>
        <v>0</v>
      </c>
      <c r="I375" s="10">
        <v>2E-3</v>
      </c>
      <c r="J375" s="10">
        <v>3.0000000000000001E-3</v>
      </c>
      <c r="K375" s="10">
        <v>5.44E-4</v>
      </c>
      <c r="L375">
        <v>0.14445</v>
      </c>
      <c r="M375">
        <v>0.14445</v>
      </c>
    </row>
    <row r="376" spans="1:13" x14ac:dyDescent="0.3">
      <c r="A376" t="s">
        <v>32</v>
      </c>
      <c r="B376" t="s">
        <v>22</v>
      </c>
      <c r="C376" t="s">
        <v>39</v>
      </c>
      <c r="D376" t="s">
        <v>35</v>
      </c>
      <c r="E376">
        <v>2030</v>
      </c>
      <c r="F376">
        <f>F374*1.1</f>
        <v>1.9800000000000002E-2</v>
      </c>
      <c r="G376" s="4">
        <f t="shared" si="12"/>
        <v>0.19067400000000004</v>
      </c>
      <c r="H376" s="4">
        <f>(H374*0.7)*((0.993)^8)</f>
        <v>15.952406079515592</v>
      </c>
      <c r="I376" s="10">
        <v>2E-3</v>
      </c>
      <c r="J376" s="10">
        <v>3.0000000000000001E-3</v>
      </c>
      <c r="K376" s="10">
        <v>5.44E-4</v>
      </c>
      <c r="L376">
        <v>0.23834250000000001</v>
      </c>
      <c r="M376">
        <v>0.14300550000000001</v>
      </c>
    </row>
    <row r="377" spans="1:13" x14ac:dyDescent="0.3">
      <c r="A377" t="s">
        <v>32</v>
      </c>
      <c r="B377" t="s">
        <v>22</v>
      </c>
      <c r="C377" t="s">
        <v>39</v>
      </c>
      <c r="D377" t="s">
        <v>36</v>
      </c>
      <c r="E377">
        <v>2030</v>
      </c>
      <c r="F377">
        <f>F374*1.16</f>
        <v>2.0879999999999996E-2</v>
      </c>
      <c r="G377" s="4">
        <f t="shared" si="12"/>
        <v>0.20107439999999999</v>
      </c>
      <c r="H377" s="4">
        <f>0*((0.993)^8)</f>
        <v>0</v>
      </c>
      <c r="I377" s="10">
        <v>2E-3</v>
      </c>
      <c r="J377" s="10">
        <v>3.0000000000000001E-3</v>
      </c>
      <c r="K377" s="10">
        <v>5.44E-4</v>
      </c>
      <c r="L377">
        <v>0.25134299999999998</v>
      </c>
      <c r="M377">
        <v>0.15080579999999999</v>
      </c>
    </row>
    <row r="378" spans="1:13" x14ac:dyDescent="0.3">
      <c r="A378" t="s">
        <v>32</v>
      </c>
      <c r="B378" t="s">
        <v>22</v>
      </c>
      <c r="C378" t="s">
        <v>39</v>
      </c>
      <c r="D378" t="s">
        <v>11</v>
      </c>
      <c r="E378">
        <v>2030</v>
      </c>
      <c r="F378">
        <f>F374*1.6</f>
        <v>2.8799999999999999E-2</v>
      </c>
      <c r="G378" s="4">
        <f t="shared" si="12"/>
        <v>0.27734400000000003</v>
      </c>
      <c r="H378" s="4">
        <f>0*((0.993)^8)</f>
        <v>0</v>
      </c>
      <c r="I378" s="10">
        <v>2E-3</v>
      </c>
      <c r="J378" s="10">
        <v>3.0000000000000001E-3</v>
      </c>
      <c r="K378" s="10">
        <v>5.44E-4</v>
      </c>
      <c r="L378">
        <v>0.34667999999999999</v>
      </c>
      <c r="M378">
        <v>0.208008</v>
      </c>
    </row>
    <row r="379" spans="1:13" x14ac:dyDescent="0.3">
      <c r="A379" t="s">
        <v>32</v>
      </c>
      <c r="B379" t="s">
        <v>22</v>
      </c>
      <c r="C379" t="s">
        <v>39</v>
      </c>
      <c r="D379" t="s">
        <v>12</v>
      </c>
      <c r="E379">
        <v>2030</v>
      </c>
      <c r="F379">
        <f>F374*1.07</f>
        <v>1.9259999999999999E-2</v>
      </c>
      <c r="G379" s="4">
        <f t="shared" si="12"/>
        <v>0.18547380000000002</v>
      </c>
      <c r="H379" s="4">
        <f>(H374*0.2)*((0.993)^8)</f>
        <v>4.5578303084330267</v>
      </c>
      <c r="I379" s="10">
        <v>2E-3</v>
      </c>
      <c r="J379" s="10">
        <v>3.0000000000000001E-3</v>
      </c>
      <c r="K379" s="10">
        <v>5.44E-4</v>
      </c>
      <c r="L379">
        <v>0.23184225</v>
      </c>
      <c r="M379">
        <v>0.13910534999999999</v>
      </c>
    </row>
    <row r="380" spans="1:13" x14ac:dyDescent="0.3">
      <c r="A380" t="s">
        <v>6</v>
      </c>
      <c r="B380" t="s">
        <v>7</v>
      </c>
      <c r="C380" t="s">
        <v>8</v>
      </c>
      <c r="D380" t="s">
        <v>9</v>
      </c>
      <c r="E380">
        <v>2040</v>
      </c>
      <c r="F380">
        <f>1.258/18.4</f>
        <v>6.8369565217391307E-2</v>
      </c>
      <c r="G380" s="2">
        <f t="shared" ref="G380:G407" si="13">F380*$Q$2</f>
        <v>0.65839891304347831</v>
      </c>
      <c r="H380" s="2">
        <f>(1274/18.4)*((0.993)^18)</f>
        <v>61.015205442000202</v>
      </c>
      <c r="I380" s="8">
        <v>3.4559999999999999E-3</v>
      </c>
      <c r="J380" s="8">
        <v>5.4559999999999999E-3</v>
      </c>
      <c r="K380" s="8">
        <v>5.44E-4</v>
      </c>
      <c r="L380">
        <v>0.65839891299999997</v>
      </c>
      <c r="M380">
        <v>0.65839891299999997</v>
      </c>
    </row>
    <row r="381" spans="1:13" x14ac:dyDescent="0.3">
      <c r="A381" t="s">
        <v>6</v>
      </c>
      <c r="B381" t="s">
        <v>7</v>
      </c>
      <c r="C381" t="s">
        <v>8</v>
      </c>
      <c r="D381" t="s">
        <v>10</v>
      </c>
      <c r="E381">
        <v>2040</v>
      </c>
      <c r="G381" s="2">
        <f>G380*0.85</f>
        <v>0.55963907608695651</v>
      </c>
      <c r="H381" s="2">
        <f>0*((0.993)^18)</f>
        <v>0</v>
      </c>
      <c r="I381" s="8">
        <v>3.4559999999999999E-3</v>
      </c>
      <c r="J381" s="8">
        <v>5.4559999999999999E-3</v>
      </c>
      <c r="K381" s="8">
        <v>5.44E-4</v>
      </c>
      <c r="L381">
        <v>0.69954884510000004</v>
      </c>
      <c r="M381">
        <v>0.4197293071</v>
      </c>
    </row>
    <row r="382" spans="1:13" x14ac:dyDescent="0.3">
      <c r="A382" t="s">
        <v>6</v>
      </c>
      <c r="B382" t="s">
        <v>7</v>
      </c>
      <c r="C382" t="s">
        <v>8</v>
      </c>
      <c r="D382" t="s">
        <v>11</v>
      </c>
      <c r="E382">
        <v>2040</v>
      </c>
      <c r="F382">
        <f>1.413/18.4</f>
        <v>7.6793478260869574E-2</v>
      </c>
      <c r="G382" s="2">
        <f t="shared" si="13"/>
        <v>0.73952119565217411</v>
      </c>
      <c r="H382" s="2">
        <f>0*((0.993)^18)</f>
        <v>0</v>
      </c>
      <c r="I382" s="8">
        <v>3.4559999999999999E-3</v>
      </c>
      <c r="J382" s="8">
        <v>5.4559999999999999E-3</v>
      </c>
      <c r="K382" s="8">
        <v>5.44E-4</v>
      </c>
      <c r="L382">
        <v>0.92440149459999998</v>
      </c>
      <c r="M382">
        <v>0.55464089670000005</v>
      </c>
    </row>
    <row r="383" spans="1:13" x14ac:dyDescent="0.3">
      <c r="A383" t="s">
        <v>6</v>
      </c>
      <c r="B383" t="s">
        <v>7</v>
      </c>
      <c r="C383" t="s">
        <v>8</v>
      </c>
      <c r="D383" t="s">
        <v>12</v>
      </c>
      <c r="E383">
        <v>2040</v>
      </c>
      <c r="G383" s="2">
        <f>G380*1.15</f>
        <v>0.75715874999999999</v>
      </c>
      <c r="H383" s="2">
        <f>(((127+217)/2)/18.4)*((0.993)^18)</f>
        <v>8.2375316609293847</v>
      </c>
      <c r="I383" s="8">
        <v>3.4559999999999999E-3</v>
      </c>
      <c r="J383" s="8">
        <v>5.4559999999999999E-3</v>
      </c>
      <c r="K383" s="8">
        <v>5.44E-4</v>
      </c>
      <c r="L383">
        <v>0.94644843749999996</v>
      </c>
      <c r="M383">
        <v>0.56786906250000002</v>
      </c>
    </row>
    <row r="384" spans="1:13" x14ac:dyDescent="0.3">
      <c r="A384" t="s">
        <v>6</v>
      </c>
      <c r="B384" t="s">
        <v>7</v>
      </c>
      <c r="C384" t="s">
        <v>8</v>
      </c>
      <c r="D384" t="s">
        <v>13</v>
      </c>
      <c r="E384">
        <v>2040</v>
      </c>
      <c r="G384" s="2">
        <f>G380*1.11</f>
        <v>0.73082279347826096</v>
      </c>
      <c r="H384" s="2">
        <f>(156/18.4)*((0.993)^18)</f>
        <v>7.471249645959209</v>
      </c>
      <c r="I384" s="8">
        <v>3.4559999999999999E-3</v>
      </c>
      <c r="J384" s="8">
        <v>5.4559999999999999E-3</v>
      </c>
      <c r="K384" s="8">
        <v>5.44E-4</v>
      </c>
      <c r="L384">
        <v>0.91352849179999995</v>
      </c>
      <c r="M384">
        <v>0.54811709509999995</v>
      </c>
    </row>
    <row r="385" spans="1:13" x14ac:dyDescent="0.3">
      <c r="A385" t="s">
        <v>6</v>
      </c>
      <c r="B385" t="s">
        <v>14</v>
      </c>
      <c r="C385" t="s">
        <v>15</v>
      </c>
      <c r="D385" t="s">
        <v>9</v>
      </c>
      <c r="E385">
        <v>2040</v>
      </c>
      <c r="F385">
        <f>1.258/33</f>
        <v>3.8121212121212118E-2</v>
      </c>
      <c r="G385" s="2">
        <f t="shared" si="13"/>
        <v>0.36710727272727273</v>
      </c>
      <c r="H385" s="2">
        <f>(1274/33)*((0.993)^18)</f>
        <v>34.02059939796375</v>
      </c>
      <c r="I385" s="8">
        <v>3.4559999999999999E-3</v>
      </c>
      <c r="J385" s="8">
        <v>5.4559999999999999E-3</v>
      </c>
      <c r="K385" s="8">
        <v>5.44E-4</v>
      </c>
      <c r="L385">
        <v>0.36710727269999999</v>
      </c>
      <c r="M385">
        <v>0.36710727269999999</v>
      </c>
    </row>
    <row r="386" spans="1:13" x14ac:dyDescent="0.3">
      <c r="A386" t="s">
        <v>6</v>
      </c>
      <c r="B386" t="s">
        <v>14</v>
      </c>
      <c r="C386" t="s">
        <v>15</v>
      </c>
      <c r="D386" t="s">
        <v>10</v>
      </c>
      <c r="E386">
        <v>2040</v>
      </c>
      <c r="G386" s="2">
        <f>G385*0.85</f>
        <v>0.3120411818181818</v>
      </c>
      <c r="H386" s="2">
        <f>0*((0.993)^18)</f>
        <v>0</v>
      </c>
      <c r="I386" s="8">
        <v>3.4559999999999999E-3</v>
      </c>
      <c r="J386" s="8">
        <v>5.4559999999999999E-3</v>
      </c>
      <c r="K386" s="8">
        <v>5.44E-4</v>
      </c>
      <c r="L386">
        <v>0.3900514773</v>
      </c>
      <c r="M386">
        <v>0.2340308864</v>
      </c>
    </row>
    <row r="387" spans="1:13" x14ac:dyDescent="0.3">
      <c r="A387" t="s">
        <v>6</v>
      </c>
      <c r="B387" t="s">
        <v>14</v>
      </c>
      <c r="C387" t="s">
        <v>15</v>
      </c>
      <c r="D387" t="s">
        <v>11</v>
      </c>
      <c r="E387">
        <v>2040</v>
      </c>
      <c r="F387">
        <f>1.413/33</f>
        <v>4.2818181818181818E-2</v>
      </c>
      <c r="G387" s="2">
        <f t="shared" si="13"/>
        <v>0.41233909090909093</v>
      </c>
      <c r="H387" s="2">
        <f>0*((0.993)^18)</f>
        <v>0</v>
      </c>
      <c r="I387" s="8">
        <v>3.4559999999999999E-3</v>
      </c>
      <c r="J387" s="8">
        <v>5.4559999999999999E-3</v>
      </c>
      <c r="K387" s="8">
        <v>5.44E-4</v>
      </c>
      <c r="L387">
        <v>0.51542386360000003</v>
      </c>
      <c r="M387">
        <v>0.30925431819999999</v>
      </c>
    </row>
    <row r="388" spans="1:13" x14ac:dyDescent="0.3">
      <c r="A388" t="s">
        <v>6</v>
      </c>
      <c r="B388" t="s">
        <v>14</v>
      </c>
      <c r="C388" t="s">
        <v>15</v>
      </c>
      <c r="D388" t="s">
        <v>12</v>
      </c>
      <c r="E388">
        <v>2040</v>
      </c>
      <c r="G388" s="2">
        <f>G385*1.15</f>
        <v>0.4221733636363636</v>
      </c>
      <c r="H388" s="2">
        <f>(((127+217)/2)/33)*((0.993)^18)</f>
        <v>4.5930479563969895</v>
      </c>
      <c r="I388" s="8">
        <v>3.4559999999999999E-3</v>
      </c>
      <c r="J388" s="8">
        <v>5.4559999999999999E-3</v>
      </c>
      <c r="K388" s="8">
        <v>5.44E-4</v>
      </c>
      <c r="L388">
        <v>0.52771670449999997</v>
      </c>
      <c r="M388">
        <v>0.31663002270000001</v>
      </c>
    </row>
    <row r="389" spans="1:13" x14ac:dyDescent="0.3">
      <c r="A389" t="s">
        <v>6</v>
      </c>
      <c r="B389" t="s">
        <v>14</v>
      </c>
      <c r="C389" t="s">
        <v>15</v>
      </c>
      <c r="D389" t="s">
        <v>13</v>
      </c>
      <c r="E389">
        <v>2040</v>
      </c>
      <c r="G389" s="2">
        <f>G385*1.11</f>
        <v>0.40748907272727275</v>
      </c>
      <c r="H389" s="2">
        <f>(156/33)*((0.993)^18)</f>
        <v>4.1657876813833168</v>
      </c>
      <c r="I389" s="8">
        <v>3.4559999999999999E-3</v>
      </c>
      <c r="J389" s="8">
        <v>5.4559999999999999E-3</v>
      </c>
      <c r="K389" s="8">
        <v>5.44E-4</v>
      </c>
      <c r="L389">
        <v>0.50936134089999996</v>
      </c>
      <c r="M389">
        <v>0.30561680450000001</v>
      </c>
    </row>
    <row r="390" spans="1:13" x14ac:dyDescent="0.3">
      <c r="A390" t="s">
        <v>6</v>
      </c>
      <c r="B390" t="s">
        <v>16</v>
      </c>
      <c r="C390" t="s">
        <v>17</v>
      </c>
      <c r="D390" t="s">
        <v>9</v>
      </c>
      <c r="E390">
        <v>2040</v>
      </c>
      <c r="F390">
        <f>1.258/33</f>
        <v>3.8121212121212118E-2</v>
      </c>
      <c r="G390" s="2">
        <f t="shared" si="13"/>
        <v>0.36710727272727273</v>
      </c>
      <c r="H390" s="2">
        <f>(1274/33)*((0.993)^18)</f>
        <v>34.02059939796375</v>
      </c>
      <c r="I390" s="8">
        <v>3.4559999999999999E-3</v>
      </c>
      <c r="J390" s="8">
        <v>5.4559999999999999E-3</v>
      </c>
      <c r="K390" s="8">
        <v>5.44E-4</v>
      </c>
      <c r="L390">
        <v>0.36710727269999999</v>
      </c>
      <c r="M390">
        <v>0.36710727269999999</v>
      </c>
    </row>
    <row r="391" spans="1:13" x14ac:dyDescent="0.3">
      <c r="A391" t="s">
        <v>6</v>
      </c>
      <c r="B391" t="s">
        <v>16</v>
      </c>
      <c r="C391" t="s">
        <v>17</v>
      </c>
      <c r="D391" t="s">
        <v>10</v>
      </c>
      <c r="E391">
        <v>2040</v>
      </c>
      <c r="G391" s="2">
        <f>G390*0.85</f>
        <v>0.3120411818181818</v>
      </c>
      <c r="H391" s="2">
        <f>0*((0.993)^18)</f>
        <v>0</v>
      </c>
      <c r="I391" s="8">
        <v>3.4559999999999999E-3</v>
      </c>
      <c r="J391" s="8">
        <v>5.4559999999999999E-3</v>
      </c>
      <c r="K391" s="8">
        <v>5.44E-4</v>
      </c>
      <c r="L391">
        <v>0.3900514773</v>
      </c>
      <c r="M391">
        <v>0.2340308864</v>
      </c>
    </row>
    <row r="392" spans="1:13" x14ac:dyDescent="0.3">
      <c r="A392" t="s">
        <v>6</v>
      </c>
      <c r="B392" t="s">
        <v>16</v>
      </c>
      <c r="C392" t="s">
        <v>17</v>
      </c>
      <c r="D392" t="s">
        <v>11</v>
      </c>
      <c r="E392">
        <v>2040</v>
      </c>
      <c r="F392">
        <f>1.413/33</f>
        <v>4.2818181818181818E-2</v>
      </c>
      <c r="G392" s="2">
        <f t="shared" si="13"/>
        <v>0.41233909090909093</v>
      </c>
      <c r="H392" s="2">
        <f>0*((0.993)^18)</f>
        <v>0</v>
      </c>
      <c r="I392" s="8">
        <v>3.4559999999999999E-3</v>
      </c>
      <c r="J392" s="8">
        <v>5.4559999999999999E-3</v>
      </c>
      <c r="K392" s="8">
        <v>5.44E-4</v>
      </c>
      <c r="L392">
        <v>0.51542386360000003</v>
      </c>
      <c r="M392">
        <v>0.30925431819999999</v>
      </c>
    </row>
    <row r="393" spans="1:13" x14ac:dyDescent="0.3">
      <c r="A393" t="s">
        <v>6</v>
      </c>
      <c r="B393" t="s">
        <v>16</v>
      </c>
      <c r="C393" t="s">
        <v>17</v>
      </c>
      <c r="D393" t="s">
        <v>12</v>
      </c>
      <c r="E393">
        <v>2040</v>
      </c>
      <c r="G393" s="2">
        <f>G390*1.15</f>
        <v>0.4221733636363636</v>
      </c>
      <c r="H393" s="2">
        <f>(((127+217)/2)/33)*((0.993)^18)</f>
        <v>4.5930479563969895</v>
      </c>
      <c r="I393" s="8">
        <v>3.4559999999999999E-3</v>
      </c>
      <c r="J393" s="8">
        <v>5.4559999999999999E-3</v>
      </c>
      <c r="K393" s="8">
        <v>5.44E-4</v>
      </c>
      <c r="L393">
        <v>0.52771670449999997</v>
      </c>
      <c r="M393">
        <v>0.31663002270000001</v>
      </c>
    </row>
    <row r="394" spans="1:13" x14ac:dyDescent="0.3">
      <c r="A394" t="s">
        <v>6</v>
      </c>
      <c r="B394" t="s">
        <v>16</v>
      </c>
      <c r="C394" t="s">
        <v>17</v>
      </c>
      <c r="D394" t="s">
        <v>13</v>
      </c>
      <c r="E394">
        <v>2040</v>
      </c>
      <c r="G394" s="2">
        <f>G390*1.11</f>
        <v>0.40748907272727275</v>
      </c>
      <c r="H394" s="2">
        <f>(156/33)*((0.993)^18)</f>
        <v>4.1657876813833168</v>
      </c>
      <c r="I394" s="8">
        <v>3.4559999999999999E-3</v>
      </c>
      <c r="J394" s="8">
        <v>5.4559999999999999E-3</v>
      </c>
      <c r="K394" s="8">
        <v>5.44E-4</v>
      </c>
      <c r="L394">
        <v>0.50936134089999996</v>
      </c>
      <c r="M394">
        <v>0.30561680450000001</v>
      </c>
    </row>
    <row r="395" spans="1:13" x14ac:dyDescent="0.3">
      <c r="A395" t="s">
        <v>6</v>
      </c>
      <c r="B395" t="s">
        <v>65</v>
      </c>
      <c r="C395" t="s">
        <v>17</v>
      </c>
      <c r="D395" t="s">
        <v>9</v>
      </c>
      <c r="E395">
        <v>2040</v>
      </c>
      <c r="F395">
        <f>1.258/33</f>
        <v>3.8121212121212118E-2</v>
      </c>
      <c r="G395" s="2">
        <f t="shared" si="13"/>
        <v>0.36710727272727273</v>
      </c>
      <c r="H395" s="2">
        <f>(1274/33)*((0.993)^18)</f>
        <v>34.02059939796375</v>
      </c>
      <c r="I395" s="8">
        <v>3.4559999999999999E-3</v>
      </c>
      <c r="J395" s="8">
        <v>5.4559999999999999E-3</v>
      </c>
      <c r="K395" s="8">
        <v>5.44E-4</v>
      </c>
      <c r="L395">
        <v>0.36710727269999999</v>
      </c>
      <c r="M395">
        <v>0.36710727269999999</v>
      </c>
    </row>
    <row r="396" spans="1:13" x14ac:dyDescent="0.3">
      <c r="A396" t="s">
        <v>6</v>
      </c>
      <c r="B396" t="s">
        <v>65</v>
      </c>
      <c r="C396" t="s">
        <v>17</v>
      </c>
      <c r="D396" t="s">
        <v>10</v>
      </c>
      <c r="E396">
        <v>2040</v>
      </c>
      <c r="G396" s="2">
        <f>G395*0.85</f>
        <v>0.3120411818181818</v>
      </c>
      <c r="H396" s="2">
        <f>0*((0.993)^18)</f>
        <v>0</v>
      </c>
      <c r="I396" s="8">
        <v>3.4559999999999999E-3</v>
      </c>
      <c r="J396" s="8">
        <v>5.4559999999999999E-3</v>
      </c>
      <c r="K396" s="8">
        <v>5.44E-4</v>
      </c>
      <c r="L396">
        <v>0.3900514773</v>
      </c>
      <c r="M396">
        <v>0.2340308864</v>
      </c>
    </row>
    <row r="397" spans="1:13" x14ac:dyDescent="0.3">
      <c r="A397" t="s">
        <v>6</v>
      </c>
      <c r="B397" t="s">
        <v>65</v>
      </c>
      <c r="C397" t="s">
        <v>17</v>
      </c>
      <c r="D397" t="s">
        <v>11</v>
      </c>
      <c r="E397">
        <v>2040</v>
      </c>
      <c r="F397">
        <f>1.413/33</f>
        <v>4.2818181818181818E-2</v>
      </c>
      <c r="G397" s="2">
        <f t="shared" si="13"/>
        <v>0.41233909090909093</v>
      </c>
      <c r="H397" s="2">
        <f>0*((0.993)^18)</f>
        <v>0</v>
      </c>
      <c r="I397" s="8">
        <v>3.4559999999999999E-3</v>
      </c>
      <c r="J397" s="8">
        <v>5.4559999999999999E-3</v>
      </c>
      <c r="K397" s="8">
        <v>5.44E-4</v>
      </c>
      <c r="L397">
        <v>0.51542386360000003</v>
      </c>
      <c r="M397">
        <v>0.30925431819999999</v>
      </c>
    </row>
    <row r="398" spans="1:13" x14ac:dyDescent="0.3">
      <c r="A398" t="s">
        <v>6</v>
      </c>
      <c r="B398" t="s">
        <v>65</v>
      </c>
      <c r="C398" t="s">
        <v>17</v>
      </c>
      <c r="D398" t="s">
        <v>12</v>
      </c>
      <c r="E398">
        <v>2040</v>
      </c>
      <c r="G398" s="2">
        <f>G395*1.15</f>
        <v>0.4221733636363636</v>
      </c>
      <c r="H398" s="2">
        <f>(((127+217)/2)/33)*((0.993)^18)</f>
        <v>4.5930479563969895</v>
      </c>
      <c r="I398" s="8">
        <v>3.4559999999999999E-3</v>
      </c>
      <c r="J398" s="8">
        <v>5.4559999999999999E-3</v>
      </c>
      <c r="K398" s="8">
        <v>5.44E-4</v>
      </c>
      <c r="L398">
        <v>0.52771670449999997</v>
      </c>
      <c r="M398">
        <v>0.31663002270000001</v>
      </c>
    </row>
    <row r="399" spans="1:13" x14ac:dyDescent="0.3">
      <c r="A399" t="s">
        <v>6</v>
      </c>
      <c r="B399" t="s">
        <v>65</v>
      </c>
      <c r="C399" t="s">
        <v>17</v>
      </c>
      <c r="D399" t="s">
        <v>13</v>
      </c>
      <c r="E399">
        <v>2040</v>
      </c>
      <c r="G399" s="2">
        <f>G395*1.11</f>
        <v>0.40748907272727275</v>
      </c>
      <c r="H399" s="2">
        <f>(156/33)*((0.993)^18)</f>
        <v>4.1657876813833168</v>
      </c>
      <c r="I399" s="8">
        <v>3.4559999999999999E-3</v>
      </c>
      <c r="J399" s="8">
        <v>5.4559999999999999E-3</v>
      </c>
      <c r="K399" s="8">
        <v>5.44E-4</v>
      </c>
      <c r="L399">
        <v>0.50936134089999996</v>
      </c>
      <c r="M399">
        <v>0.30561680450000001</v>
      </c>
    </row>
    <row r="400" spans="1:13" x14ac:dyDescent="0.3">
      <c r="A400" t="s">
        <v>6</v>
      </c>
      <c r="B400" t="s">
        <v>18</v>
      </c>
      <c r="C400" t="s">
        <v>19</v>
      </c>
      <c r="D400" t="s">
        <v>9</v>
      </c>
      <c r="E400">
        <v>2040</v>
      </c>
      <c r="F400">
        <f>1.258/33</f>
        <v>3.8121212121212118E-2</v>
      </c>
      <c r="G400" s="2">
        <f t="shared" si="13"/>
        <v>0.36710727272727273</v>
      </c>
      <c r="H400" s="2">
        <f>(1274/33)*((0.993)^18)</f>
        <v>34.02059939796375</v>
      </c>
      <c r="I400" s="8">
        <v>3.4559999999999999E-3</v>
      </c>
      <c r="J400" s="8">
        <v>5.4559999999999999E-3</v>
      </c>
      <c r="K400" s="8">
        <v>5.44E-4</v>
      </c>
      <c r="L400">
        <v>0.36710727269999999</v>
      </c>
      <c r="M400">
        <v>0.36710727269999999</v>
      </c>
    </row>
    <row r="401" spans="1:13" x14ac:dyDescent="0.3">
      <c r="A401" t="s">
        <v>6</v>
      </c>
      <c r="B401" t="s">
        <v>18</v>
      </c>
      <c r="C401" t="s">
        <v>19</v>
      </c>
      <c r="D401" t="s">
        <v>10</v>
      </c>
      <c r="E401">
        <v>2040</v>
      </c>
      <c r="G401" s="2">
        <f>G400*0.85</f>
        <v>0.3120411818181818</v>
      </c>
      <c r="H401" s="2">
        <f>0*((0.993)^18)</f>
        <v>0</v>
      </c>
      <c r="I401" s="8">
        <v>3.4559999999999999E-3</v>
      </c>
      <c r="J401" s="8">
        <v>5.4559999999999999E-3</v>
      </c>
      <c r="K401" s="8">
        <v>5.44E-4</v>
      </c>
      <c r="L401">
        <v>0.3900514773</v>
      </c>
      <c r="M401">
        <v>0.2340308864</v>
      </c>
    </row>
    <row r="402" spans="1:13" x14ac:dyDescent="0.3">
      <c r="A402" t="s">
        <v>6</v>
      </c>
      <c r="B402" t="s">
        <v>18</v>
      </c>
      <c r="C402" t="s">
        <v>19</v>
      </c>
      <c r="D402" t="s">
        <v>11</v>
      </c>
      <c r="E402">
        <v>2040</v>
      </c>
      <c r="F402">
        <f>1.413/33</f>
        <v>4.2818181818181818E-2</v>
      </c>
      <c r="G402" s="2">
        <f t="shared" si="13"/>
        <v>0.41233909090909093</v>
      </c>
      <c r="H402" s="2">
        <f>0*((0.993)^18)</f>
        <v>0</v>
      </c>
      <c r="I402" s="8">
        <v>3.4559999999999999E-3</v>
      </c>
      <c r="J402" s="8">
        <v>5.4559999999999999E-3</v>
      </c>
      <c r="K402" s="8">
        <v>5.44E-4</v>
      </c>
      <c r="L402">
        <v>0.51542386360000003</v>
      </c>
      <c r="M402">
        <v>0.30925431819999999</v>
      </c>
    </row>
    <row r="403" spans="1:13" x14ac:dyDescent="0.3">
      <c r="A403" t="s">
        <v>6</v>
      </c>
      <c r="B403" t="s">
        <v>18</v>
      </c>
      <c r="C403" t="s">
        <v>19</v>
      </c>
      <c r="D403" t="s">
        <v>12</v>
      </c>
      <c r="E403">
        <v>2040</v>
      </c>
      <c r="G403" s="2">
        <f>G400*1.15</f>
        <v>0.4221733636363636</v>
      </c>
      <c r="H403" s="2">
        <f>(((127+217)/2)/33)*((0.993)^18)</f>
        <v>4.5930479563969895</v>
      </c>
      <c r="I403" s="8">
        <v>3.4559999999999999E-3</v>
      </c>
      <c r="J403" s="8">
        <v>5.4559999999999999E-3</v>
      </c>
      <c r="K403" s="8">
        <v>5.44E-4</v>
      </c>
      <c r="L403">
        <v>0.52771670449999997</v>
      </c>
      <c r="M403">
        <v>0.31663002270000001</v>
      </c>
    </row>
    <row r="404" spans="1:13" x14ac:dyDescent="0.3">
      <c r="A404" t="s">
        <v>6</v>
      </c>
      <c r="B404" t="s">
        <v>18</v>
      </c>
      <c r="C404" t="s">
        <v>19</v>
      </c>
      <c r="D404" t="s">
        <v>13</v>
      </c>
      <c r="E404">
        <v>2040</v>
      </c>
      <c r="G404" s="2">
        <f>G400*1.11</f>
        <v>0.40748907272727275</v>
      </c>
      <c r="H404" s="2">
        <f>(156/33)*((0.993)^18)</f>
        <v>4.1657876813833168</v>
      </c>
      <c r="I404" s="8">
        <v>3.4559999999999999E-3</v>
      </c>
      <c r="J404" s="8">
        <v>5.4559999999999999E-3</v>
      </c>
      <c r="K404" s="8">
        <v>5.44E-4</v>
      </c>
      <c r="L404">
        <v>0.50936134089999996</v>
      </c>
      <c r="M404">
        <v>0.30561680450000001</v>
      </c>
    </row>
    <row r="405" spans="1:13" x14ac:dyDescent="0.3">
      <c r="A405" t="s">
        <v>6</v>
      </c>
      <c r="B405" t="s">
        <v>20</v>
      </c>
      <c r="C405" t="s">
        <v>21</v>
      </c>
      <c r="D405" t="s">
        <v>9</v>
      </c>
      <c r="E405">
        <v>2040</v>
      </c>
      <c r="F405">
        <f>1.258/34</f>
        <v>3.6999999999999998E-2</v>
      </c>
      <c r="G405" s="2">
        <f t="shared" si="13"/>
        <v>0.35631000000000002</v>
      </c>
      <c r="H405" s="2">
        <f>(1274/34)*((0.993)^18)</f>
        <v>33.019993533317752</v>
      </c>
      <c r="I405" s="8">
        <v>3.4559999999999999E-3</v>
      </c>
      <c r="J405" s="8">
        <v>5.4559999999999999E-3</v>
      </c>
      <c r="K405" s="8">
        <v>5.44E-4</v>
      </c>
      <c r="L405">
        <v>0.35631000000000002</v>
      </c>
      <c r="M405">
        <v>0.35631000000000002</v>
      </c>
    </row>
    <row r="406" spans="1:13" x14ac:dyDescent="0.3">
      <c r="A406" t="s">
        <v>6</v>
      </c>
      <c r="B406" t="s">
        <v>20</v>
      </c>
      <c r="C406" t="s">
        <v>21</v>
      </c>
      <c r="D406" t="s">
        <v>10</v>
      </c>
      <c r="E406">
        <v>2040</v>
      </c>
      <c r="G406" s="2">
        <f>G405*0.85</f>
        <v>0.30286350000000001</v>
      </c>
      <c r="H406" s="2">
        <f>0*((0.993)^18)</f>
        <v>0</v>
      </c>
      <c r="I406" s="8">
        <v>3.4559999999999999E-3</v>
      </c>
      <c r="J406" s="8">
        <v>5.4559999999999999E-3</v>
      </c>
      <c r="K406" s="8">
        <v>5.44E-4</v>
      </c>
      <c r="L406">
        <v>0.378579375</v>
      </c>
      <c r="M406">
        <v>0.22714762499999999</v>
      </c>
    </row>
    <row r="407" spans="1:13" x14ac:dyDescent="0.3">
      <c r="A407" t="s">
        <v>6</v>
      </c>
      <c r="B407" t="s">
        <v>20</v>
      </c>
      <c r="C407" t="s">
        <v>21</v>
      </c>
      <c r="D407" t="s">
        <v>11</v>
      </c>
      <c r="E407">
        <v>2040</v>
      </c>
      <c r="F407">
        <f>1.413/34</f>
        <v>4.1558823529411766E-2</v>
      </c>
      <c r="G407" s="2">
        <f t="shared" si="13"/>
        <v>0.40021147058823536</v>
      </c>
      <c r="H407" s="2">
        <f>0*((0.993)^18)</f>
        <v>0</v>
      </c>
      <c r="I407" s="8">
        <v>3.4559999999999999E-3</v>
      </c>
      <c r="J407" s="8">
        <v>5.4559999999999999E-3</v>
      </c>
      <c r="K407" s="8">
        <v>5.44E-4</v>
      </c>
      <c r="L407">
        <v>0.50026433820000005</v>
      </c>
      <c r="M407">
        <v>0.30015860290000002</v>
      </c>
    </row>
    <row r="408" spans="1:13" x14ac:dyDescent="0.3">
      <c r="A408" t="s">
        <v>6</v>
      </c>
      <c r="B408" t="s">
        <v>20</v>
      </c>
      <c r="C408" t="s">
        <v>21</v>
      </c>
      <c r="D408" t="s">
        <v>12</v>
      </c>
      <c r="E408">
        <v>2040</v>
      </c>
      <c r="G408" s="2">
        <f>G405*1.15</f>
        <v>0.40975649999999997</v>
      </c>
      <c r="H408" s="2">
        <f>(((127+217)/2)/34)*((0.993)^18)</f>
        <v>4.4579583106206071</v>
      </c>
      <c r="I408" s="8">
        <v>3.4559999999999999E-3</v>
      </c>
      <c r="J408" s="8">
        <v>5.4559999999999999E-3</v>
      </c>
      <c r="K408" s="8">
        <v>5.44E-4</v>
      </c>
      <c r="L408">
        <v>0.51219562500000004</v>
      </c>
      <c r="M408">
        <v>0.307317375</v>
      </c>
    </row>
    <row r="409" spans="1:13" x14ac:dyDescent="0.3">
      <c r="A409" t="s">
        <v>6</v>
      </c>
      <c r="B409" t="s">
        <v>20</v>
      </c>
      <c r="C409" t="s">
        <v>21</v>
      </c>
      <c r="D409" t="s">
        <v>13</v>
      </c>
      <c r="E409">
        <v>2040</v>
      </c>
      <c r="G409" s="2">
        <f>G405*1.11</f>
        <v>0.39550410000000003</v>
      </c>
      <c r="H409" s="2">
        <f>(156/34)*((0.993)^18)</f>
        <v>4.0432645142838064</v>
      </c>
      <c r="I409" s="8">
        <v>3.4559999999999999E-3</v>
      </c>
      <c r="J409" s="8">
        <v>5.4559999999999999E-3</v>
      </c>
      <c r="K409" s="8">
        <v>5.44E-4</v>
      </c>
      <c r="L409">
        <v>0.494380125</v>
      </c>
      <c r="M409">
        <v>0.29662807499999999</v>
      </c>
    </row>
    <row r="410" spans="1:13" x14ac:dyDescent="0.3">
      <c r="A410" t="s">
        <v>6</v>
      </c>
      <c r="B410" t="s">
        <v>22</v>
      </c>
      <c r="C410" t="s">
        <v>23</v>
      </c>
      <c r="D410" t="s">
        <v>9</v>
      </c>
      <c r="E410">
        <v>2040</v>
      </c>
      <c r="F410">
        <f>1.258/33</f>
        <v>3.8121212121212118E-2</v>
      </c>
      <c r="G410" s="2">
        <f t="shared" ref="G410:G478" si="14">F410*$Q$2</f>
        <v>0.36710727272727273</v>
      </c>
      <c r="H410" s="2">
        <f>(1274/33)*((0.993)^18)</f>
        <v>34.02059939796375</v>
      </c>
      <c r="I410" s="8">
        <v>3.4559999999999999E-3</v>
      </c>
      <c r="J410" s="8">
        <v>5.4559999999999999E-3</v>
      </c>
      <c r="K410" s="8">
        <v>5.44E-4</v>
      </c>
      <c r="L410">
        <v>0.36710727269999999</v>
      </c>
      <c r="M410">
        <v>0.36710727269999999</v>
      </c>
    </row>
    <row r="411" spans="1:13" x14ac:dyDescent="0.3">
      <c r="A411" t="s">
        <v>6</v>
      </c>
      <c r="B411" t="s">
        <v>22</v>
      </c>
      <c r="C411" t="s">
        <v>23</v>
      </c>
      <c r="D411" t="s">
        <v>10</v>
      </c>
      <c r="E411">
        <v>2040</v>
      </c>
      <c r="G411" s="2">
        <f>G410*0.85</f>
        <v>0.3120411818181818</v>
      </c>
      <c r="H411" s="2">
        <f>0*((0.993)^18)</f>
        <v>0</v>
      </c>
      <c r="I411" s="8">
        <v>3.4559999999999999E-3</v>
      </c>
      <c r="J411" s="8">
        <v>5.4559999999999999E-3</v>
      </c>
      <c r="K411" s="8">
        <v>5.44E-4</v>
      </c>
      <c r="L411">
        <v>0.3900514773</v>
      </c>
      <c r="M411">
        <v>0.2340308864</v>
      </c>
    </row>
    <row r="412" spans="1:13" x14ac:dyDescent="0.3">
      <c r="A412" t="s">
        <v>6</v>
      </c>
      <c r="B412" t="s">
        <v>22</v>
      </c>
      <c r="C412" t="s">
        <v>23</v>
      </c>
      <c r="D412" t="s">
        <v>11</v>
      </c>
      <c r="E412">
        <v>2040</v>
      </c>
      <c r="F412">
        <f>1.413/33</f>
        <v>4.2818181818181818E-2</v>
      </c>
      <c r="G412" s="2">
        <f t="shared" si="14"/>
        <v>0.41233909090909093</v>
      </c>
      <c r="H412" s="2">
        <f>0*((0.993)^18)</f>
        <v>0</v>
      </c>
      <c r="I412" s="8">
        <v>3.4559999999999999E-3</v>
      </c>
      <c r="J412" s="8">
        <v>5.4559999999999999E-3</v>
      </c>
      <c r="K412" s="8">
        <v>5.44E-4</v>
      </c>
      <c r="L412">
        <v>0.51542386360000003</v>
      </c>
      <c r="M412">
        <v>0.30925431819999999</v>
      </c>
    </row>
    <row r="413" spans="1:13" x14ac:dyDescent="0.3">
      <c r="A413" t="s">
        <v>6</v>
      </c>
      <c r="B413" t="s">
        <v>22</v>
      </c>
      <c r="C413" t="s">
        <v>23</v>
      </c>
      <c r="D413" t="s">
        <v>12</v>
      </c>
      <c r="E413">
        <v>2040</v>
      </c>
      <c r="G413" s="2">
        <f>G410*1.15</f>
        <v>0.4221733636363636</v>
      </c>
      <c r="H413" s="2">
        <f>(((127+217)/2)/33)*((0.993)^18)</f>
        <v>4.5930479563969895</v>
      </c>
      <c r="I413" s="8">
        <v>3.4559999999999999E-3</v>
      </c>
      <c r="J413" s="8">
        <v>5.4559999999999999E-3</v>
      </c>
      <c r="K413" s="8">
        <v>5.44E-4</v>
      </c>
      <c r="L413">
        <v>0.52771670449999997</v>
      </c>
      <c r="M413">
        <v>0.31663002270000001</v>
      </c>
    </row>
    <row r="414" spans="1:13" x14ac:dyDescent="0.3">
      <c r="A414" t="s">
        <v>6</v>
      </c>
      <c r="B414" t="s">
        <v>22</v>
      </c>
      <c r="C414" t="s">
        <v>23</v>
      </c>
      <c r="D414" t="s">
        <v>13</v>
      </c>
      <c r="E414">
        <v>2040</v>
      </c>
      <c r="G414" s="2">
        <f>G410*1.11</f>
        <v>0.40748907272727275</v>
      </c>
      <c r="H414" s="2">
        <f>(156/33)*((0.993)^18)</f>
        <v>4.1657876813833168</v>
      </c>
      <c r="I414" s="8">
        <v>3.4559999999999999E-3</v>
      </c>
      <c r="J414" s="8">
        <v>5.4559999999999999E-3</v>
      </c>
      <c r="K414" s="8">
        <v>5.44E-4</v>
      </c>
      <c r="L414">
        <v>0.50936134089999996</v>
      </c>
      <c r="M414">
        <v>0.30561680450000001</v>
      </c>
    </row>
    <row r="415" spans="1:13" x14ac:dyDescent="0.3">
      <c r="A415" t="s">
        <v>40</v>
      </c>
      <c r="B415" t="s">
        <v>7</v>
      </c>
      <c r="C415" t="s">
        <v>24</v>
      </c>
      <c r="D415" t="s">
        <v>44</v>
      </c>
      <c r="E415">
        <v>2040</v>
      </c>
      <c r="F415">
        <f>69.833/9000</f>
        <v>7.759222222222222E-3</v>
      </c>
      <c r="G415" s="3">
        <f t="shared" si="14"/>
        <v>7.4721309999999999E-2</v>
      </c>
      <c r="H415" s="3">
        <f>13*((0.993)^18)</f>
        <v>11.455916123804119</v>
      </c>
      <c r="I415" s="9">
        <v>3.4559999999999999E-3</v>
      </c>
      <c r="J415" s="9">
        <v>5.4559999999999999E-3</v>
      </c>
      <c r="K415" s="9">
        <v>5.44E-4</v>
      </c>
      <c r="L415">
        <v>7.4721309999999999E-2</v>
      </c>
      <c r="M415">
        <v>7.4721309999999999E-2</v>
      </c>
    </row>
    <row r="416" spans="1:13" x14ac:dyDescent="0.3">
      <c r="A416" t="s">
        <v>40</v>
      </c>
      <c r="B416" t="s">
        <v>7</v>
      </c>
      <c r="C416" t="s">
        <v>24</v>
      </c>
      <c r="D416" t="s">
        <v>25</v>
      </c>
      <c r="E416">
        <v>2040</v>
      </c>
      <c r="G416" s="3">
        <f>G415*1.1</f>
        <v>8.2193441000000006E-2</v>
      </c>
      <c r="H416" s="3">
        <f>(0.93*H415)*((0.993)^18)</f>
        <v>9.3885656337800558</v>
      </c>
      <c r="I416" s="9">
        <v>3.4559999999999999E-3</v>
      </c>
      <c r="J416" s="9">
        <v>5.4559999999999999E-3</v>
      </c>
      <c r="K416" s="9">
        <v>5.44E-4</v>
      </c>
      <c r="L416">
        <v>8.2193441000000006E-2</v>
      </c>
      <c r="M416">
        <v>8.2193441000000006E-2</v>
      </c>
    </row>
    <row r="417" spans="1:13" x14ac:dyDescent="0.3">
      <c r="A417" t="s">
        <v>40</v>
      </c>
      <c r="B417" t="s">
        <v>7</v>
      </c>
      <c r="C417" t="s">
        <v>24</v>
      </c>
      <c r="D417" t="s">
        <v>26</v>
      </c>
      <c r="E417">
        <v>2040</v>
      </c>
      <c r="G417" s="3">
        <f>G416*1.07</f>
        <v>8.794698187000001E-2</v>
      </c>
      <c r="H417" s="3">
        <f>(H415*0.7)*((0.993)^18)</f>
        <v>7.0666623049957407</v>
      </c>
      <c r="I417" s="9">
        <v>3.4559999999999999E-3</v>
      </c>
      <c r="J417" s="9">
        <v>5.4559999999999999E-3</v>
      </c>
      <c r="K417" s="9">
        <v>5.44E-4</v>
      </c>
      <c r="L417">
        <v>8.7946981869999996E-2</v>
      </c>
      <c r="M417">
        <v>8.7946981869999996E-2</v>
      </c>
    </row>
    <row r="418" spans="1:13" x14ac:dyDescent="0.3">
      <c r="A418" t="s">
        <v>40</v>
      </c>
      <c r="B418" t="s">
        <v>7</v>
      </c>
      <c r="C418" t="s">
        <v>24</v>
      </c>
      <c r="D418" t="s">
        <v>11</v>
      </c>
      <c r="E418">
        <v>2040</v>
      </c>
      <c r="F418">
        <f>123.025/9000</f>
        <v>1.3669444444444446E-2</v>
      </c>
      <c r="G418" s="3">
        <f t="shared" si="14"/>
        <v>0.13163675000000002</v>
      </c>
      <c r="H418" s="3">
        <f>0*((0.993)^18)</f>
        <v>0</v>
      </c>
      <c r="I418" s="9">
        <v>3.4559999999999999E-3</v>
      </c>
      <c r="J418" s="9">
        <v>5.4559999999999999E-3</v>
      </c>
      <c r="K418" s="9">
        <v>5.44E-4</v>
      </c>
      <c r="L418">
        <v>0.16454593749999999</v>
      </c>
      <c r="M418">
        <v>9.8727562500000005E-2</v>
      </c>
    </row>
    <row r="419" spans="1:13" x14ac:dyDescent="0.3">
      <c r="A419" t="s">
        <v>40</v>
      </c>
      <c r="B419" t="s">
        <v>7</v>
      </c>
      <c r="C419" t="s">
        <v>24</v>
      </c>
      <c r="D419" t="s">
        <v>27</v>
      </c>
      <c r="E419">
        <v>2040</v>
      </c>
      <c r="F419">
        <f>121.708/9000</f>
        <v>1.3523111111111111E-2</v>
      </c>
      <c r="G419" s="3">
        <f t="shared" si="14"/>
        <v>0.13022756000000002</v>
      </c>
      <c r="H419" s="3">
        <f>0*((0.993)^18)</f>
        <v>0</v>
      </c>
      <c r="I419" s="9">
        <v>3.4559999999999999E-3</v>
      </c>
      <c r="J419" s="9">
        <v>5.4559999999999999E-3</v>
      </c>
      <c r="K419" s="9">
        <v>5.44E-4</v>
      </c>
      <c r="L419">
        <v>0.16278445</v>
      </c>
      <c r="M419">
        <v>9.7670670000000001E-2</v>
      </c>
    </row>
    <row r="420" spans="1:13" x14ac:dyDescent="0.3">
      <c r="A420" t="s">
        <v>40</v>
      </c>
      <c r="B420" t="s">
        <v>7</v>
      </c>
      <c r="C420" t="s">
        <v>24</v>
      </c>
      <c r="D420" t="s">
        <v>28</v>
      </c>
      <c r="E420">
        <v>2040</v>
      </c>
      <c r="G420" s="3">
        <f>G416*1.26</f>
        <v>0.10356373566</v>
      </c>
      <c r="H420" s="3">
        <f>(0.9*H415)*((0.993)^18)</f>
        <v>9.0857086778516685</v>
      </c>
      <c r="I420" s="9">
        <v>3.4559999999999999E-3</v>
      </c>
      <c r="J420" s="9">
        <v>5.4559999999999999E-3</v>
      </c>
      <c r="K420" s="9">
        <v>5.44E-4</v>
      </c>
      <c r="L420">
        <v>0.12945466959999999</v>
      </c>
      <c r="M420">
        <v>7.7672801750000006E-2</v>
      </c>
    </row>
    <row r="421" spans="1:13" x14ac:dyDescent="0.3">
      <c r="A421" t="s">
        <v>40</v>
      </c>
      <c r="B421" t="s">
        <v>7</v>
      </c>
      <c r="C421" t="s">
        <v>24</v>
      </c>
      <c r="D421" t="s">
        <v>13</v>
      </c>
      <c r="E421">
        <v>2040</v>
      </c>
      <c r="G421" s="3">
        <f>G420*1.05</f>
        <v>0.108741922443</v>
      </c>
      <c r="H421" s="3">
        <f>(H415*0.24)*((0.993)^18)</f>
        <v>2.4228556474271112</v>
      </c>
      <c r="I421" s="9">
        <v>3.4559999999999999E-3</v>
      </c>
      <c r="J421" s="9">
        <v>5.4559999999999999E-3</v>
      </c>
      <c r="K421" s="9">
        <v>5.44E-4</v>
      </c>
      <c r="L421">
        <v>0.13592740310000001</v>
      </c>
      <c r="M421">
        <v>8.1556441830000007E-2</v>
      </c>
    </row>
    <row r="422" spans="1:13" x14ac:dyDescent="0.3">
      <c r="A422" t="s">
        <v>40</v>
      </c>
      <c r="B422" t="s">
        <v>14</v>
      </c>
      <c r="C422" t="s">
        <v>29</v>
      </c>
      <c r="D422" t="s">
        <v>44</v>
      </c>
      <c r="E422">
        <v>2040</v>
      </c>
      <c r="F422">
        <f>69.833/8500</f>
        <v>8.2156470588235289E-3</v>
      </c>
      <c r="G422" s="3">
        <f t="shared" si="14"/>
        <v>7.9116681176470596E-2</v>
      </c>
      <c r="H422" s="3">
        <f>((42/14000)*9000)*((0.993)^18)</f>
        <v>23.793056564823939</v>
      </c>
      <c r="I422" s="9">
        <v>3.4559999999999999E-3</v>
      </c>
      <c r="J422" s="9">
        <v>5.4559999999999999E-3</v>
      </c>
      <c r="K422" s="9">
        <v>5.44E-4</v>
      </c>
      <c r="L422">
        <v>7.9116681179999995E-2</v>
      </c>
      <c r="M422">
        <v>7.9116681179999995E-2</v>
      </c>
    </row>
    <row r="423" spans="1:13" x14ac:dyDescent="0.3">
      <c r="A423" t="s">
        <v>40</v>
      </c>
      <c r="B423" t="s">
        <v>14</v>
      </c>
      <c r="C423" t="s">
        <v>29</v>
      </c>
      <c r="D423" t="s">
        <v>25</v>
      </c>
      <c r="E423">
        <v>2040</v>
      </c>
      <c r="G423" s="3">
        <f>G422*1.1</f>
        <v>8.7028349294117666E-2</v>
      </c>
      <c r="H423" s="3">
        <f>(0.93*H422)*((0.993)^18)</f>
        <v>19.499328624004733</v>
      </c>
      <c r="I423" s="9">
        <v>3.4559999999999999E-3</v>
      </c>
      <c r="J423" s="9">
        <v>5.4559999999999999E-3</v>
      </c>
      <c r="K423" s="9">
        <v>5.44E-4</v>
      </c>
      <c r="L423">
        <v>8.7028349290000001E-2</v>
      </c>
      <c r="M423">
        <v>8.7028349290000001E-2</v>
      </c>
    </row>
    <row r="424" spans="1:13" x14ac:dyDescent="0.3">
      <c r="A424" t="s">
        <v>40</v>
      </c>
      <c r="B424" t="s">
        <v>14</v>
      </c>
      <c r="C424" t="s">
        <v>29</v>
      </c>
      <c r="D424" t="s">
        <v>26</v>
      </c>
      <c r="E424">
        <v>2040</v>
      </c>
      <c r="G424" s="3">
        <f>G423*1.07</f>
        <v>9.3120333744705908E-2</v>
      </c>
      <c r="H424" s="3">
        <f>(H422*0.7)*((0.993)^18)</f>
        <v>14.676914018068077</v>
      </c>
      <c r="I424" s="9">
        <v>3.4559999999999999E-3</v>
      </c>
      <c r="J424" s="9">
        <v>5.4559999999999999E-3</v>
      </c>
      <c r="K424" s="9">
        <v>5.44E-4</v>
      </c>
      <c r="L424">
        <v>9.3120333740000005E-2</v>
      </c>
      <c r="M424">
        <v>9.3120333740000005E-2</v>
      </c>
    </row>
    <row r="425" spans="1:13" x14ac:dyDescent="0.3">
      <c r="A425" t="s">
        <v>40</v>
      </c>
      <c r="B425" t="s">
        <v>14</v>
      </c>
      <c r="C425" t="s">
        <v>29</v>
      </c>
      <c r="D425" t="s">
        <v>11</v>
      </c>
      <c r="E425">
        <v>2040</v>
      </c>
      <c r="F425">
        <f>123.025/8500</f>
        <v>1.4473529411764706E-2</v>
      </c>
      <c r="G425" s="3">
        <f t="shared" si="14"/>
        <v>0.13938008823529413</v>
      </c>
      <c r="H425" s="3">
        <f>0*((0.993)^18)</f>
        <v>0</v>
      </c>
      <c r="I425" s="9">
        <v>3.4559999999999999E-3</v>
      </c>
      <c r="J425" s="9">
        <v>5.4559999999999999E-3</v>
      </c>
      <c r="K425" s="9">
        <v>5.44E-4</v>
      </c>
      <c r="L425">
        <v>0.17422511030000001</v>
      </c>
      <c r="M425">
        <v>0.1045350662</v>
      </c>
    </row>
    <row r="426" spans="1:13" x14ac:dyDescent="0.3">
      <c r="A426" t="s">
        <v>40</v>
      </c>
      <c r="B426" t="s">
        <v>14</v>
      </c>
      <c r="C426" t="s">
        <v>29</v>
      </c>
      <c r="D426" t="s">
        <v>27</v>
      </c>
      <c r="E426">
        <v>2040</v>
      </c>
      <c r="F426">
        <f>121.708/8500</f>
        <v>1.4318588235294118E-2</v>
      </c>
      <c r="G426" s="3">
        <f t="shared" si="14"/>
        <v>0.13788800470588236</v>
      </c>
      <c r="H426" s="3">
        <f>0*((0.993)^18)</f>
        <v>0</v>
      </c>
      <c r="I426" s="9">
        <v>3.4559999999999999E-3</v>
      </c>
      <c r="J426" s="9">
        <v>5.4559999999999999E-3</v>
      </c>
      <c r="K426" s="9">
        <v>5.44E-4</v>
      </c>
      <c r="L426">
        <v>0.1723600059</v>
      </c>
      <c r="M426">
        <v>0.10341600350000001</v>
      </c>
    </row>
    <row r="427" spans="1:13" x14ac:dyDescent="0.3">
      <c r="A427" t="s">
        <v>40</v>
      </c>
      <c r="B427" t="s">
        <v>14</v>
      </c>
      <c r="C427" t="s">
        <v>29</v>
      </c>
      <c r="D427" t="s">
        <v>28</v>
      </c>
      <c r="E427">
        <v>2040</v>
      </c>
      <c r="G427" s="3">
        <f>G423*1.26</f>
        <v>0.10965572011058826</v>
      </c>
      <c r="H427" s="3">
        <f>(0.9*H422)*((0.993)^18)</f>
        <v>18.870318023230386</v>
      </c>
      <c r="I427" s="9">
        <v>3.4559999999999999E-3</v>
      </c>
      <c r="J427" s="9">
        <v>5.4559999999999999E-3</v>
      </c>
      <c r="K427" s="9">
        <v>5.44E-4</v>
      </c>
      <c r="L427">
        <v>0.1370696501</v>
      </c>
      <c r="M427">
        <v>8.2241790080000002E-2</v>
      </c>
    </row>
    <row r="428" spans="1:13" x14ac:dyDescent="0.3">
      <c r="A428" t="s">
        <v>40</v>
      </c>
      <c r="B428" t="s">
        <v>14</v>
      </c>
      <c r="C428" t="s">
        <v>29</v>
      </c>
      <c r="D428" t="s">
        <v>13</v>
      </c>
      <c r="E428">
        <v>2040</v>
      </c>
      <c r="G428" s="3">
        <f>G427*1.05</f>
        <v>0.11513850611611767</v>
      </c>
      <c r="H428" s="3">
        <f>(H422*0.24)*((0.993)^18)</f>
        <v>5.0320848061947689</v>
      </c>
      <c r="I428" s="9">
        <v>3.4559999999999999E-3</v>
      </c>
      <c r="J428" s="9">
        <v>5.4559999999999999E-3</v>
      </c>
      <c r="K428" s="9">
        <v>5.44E-4</v>
      </c>
      <c r="L428">
        <v>0.1439231326</v>
      </c>
      <c r="M428">
        <v>8.6353879590000002E-2</v>
      </c>
    </row>
    <row r="429" spans="1:13" x14ac:dyDescent="0.3">
      <c r="A429" t="s">
        <v>40</v>
      </c>
      <c r="B429" t="s">
        <v>16</v>
      </c>
      <c r="C429" t="s">
        <v>29</v>
      </c>
      <c r="D429" t="s">
        <v>44</v>
      </c>
      <c r="E429">
        <v>2040</v>
      </c>
      <c r="F429">
        <f>69.833/8500</f>
        <v>8.2156470588235289E-3</v>
      </c>
      <c r="G429" s="3">
        <f t="shared" si="14"/>
        <v>7.9116681176470596E-2</v>
      </c>
      <c r="H429" s="3">
        <f>((42/14000)*9000)*((0.993)^18)</f>
        <v>23.793056564823939</v>
      </c>
      <c r="I429" s="9">
        <v>3.4559999999999999E-3</v>
      </c>
      <c r="J429" s="9">
        <v>5.4559999999999999E-3</v>
      </c>
      <c r="K429" s="9">
        <v>5.44E-4</v>
      </c>
      <c r="L429">
        <v>7.9116681179999995E-2</v>
      </c>
      <c r="M429">
        <v>7.9116681179999995E-2</v>
      </c>
    </row>
    <row r="430" spans="1:13" x14ac:dyDescent="0.3">
      <c r="A430" t="s">
        <v>40</v>
      </c>
      <c r="B430" t="s">
        <v>16</v>
      </c>
      <c r="C430" t="s">
        <v>29</v>
      </c>
      <c r="D430" t="s">
        <v>25</v>
      </c>
      <c r="E430">
        <v>2040</v>
      </c>
      <c r="G430" s="3">
        <f>G429*1.1</f>
        <v>8.7028349294117666E-2</v>
      </c>
      <c r="H430" s="3">
        <f>(0.93*H429)*((0.993)^18)</f>
        <v>19.499328624004733</v>
      </c>
      <c r="I430" s="9">
        <v>3.4559999999999999E-3</v>
      </c>
      <c r="J430" s="9">
        <v>5.4559999999999999E-3</v>
      </c>
      <c r="K430" s="9">
        <v>5.44E-4</v>
      </c>
      <c r="L430">
        <v>8.7028349290000001E-2</v>
      </c>
      <c r="M430">
        <v>8.7028349290000001E-2</v>
      </c>
    </row>
    <row r="431" spans="1:13" x14ac:dyDescent="0.3">
      <c r="A431" t="s">
        <v>40</v>
      </c>
      <c r="B431" t="s">
        <v>16</v>
      </c>
      <c r="C431" t="s">
        <v>29</v>
      </c>
      <c r="D431" t="s">
        <v>26</v>
      </c>
      <c r="E431">
        <v>2040</v>
      </c>
      <c r="G431" s="3">
        <f>G430*1.07</f>
        <v>9.3120333744705908E-2</v>
      </c>
      <c r="H431" s="3">
        <f>(H429*0.7)*((0.993)^18)</f>
        <v>14.676914018068077</v>
      </c>
      <c r="I431" s="9">
        <v>3.4559999999999999E-3</v>
      </c>
      <c r="J431" s="9">
        <v>5.4559999999999999E-3</v>
      </c>
      <c r="K431" s="9">
        <v>5.44E-4</v>
      </c>
      <c r="L431">
        <v>9.3120333740000005E-2</v>
      </c>
      <c r="M431">
        <v>9.3120333740000005E-2</v>
      </c>
    </row>
    <row r="432" spans="1:13" x14ac:dyDescent="0.3">
      <c r="A432" t="s">
        <v>40</v>
      </c>
      <c r="B432" t="s">
        <v>16</v>
      </c>
      <c r="C432" t="s">
        <v>29</v>
      </c>
      <c r="D432" t="s">
        <v>11</v>
      </c>
      <c r="E432">
        <v>2040</v>
      </c>
      <c r="F432">
        <f>123.025/8500</f>
        <v>1.4473529411764706E-2</v>
      </c>
      <c r="G432" s="3">
        <f t="shared" si="14"/>
        <v>0.13938008823529413</v>
      </c>
      <c r="H432" s="3">
        <f>0*((0.993)^18)</f>
        <v>0</v>
      </c>
      <c r="I432" s="9">
        <v>3.4559999999999999E-3</v>
      </c>
      <c r="J432" s="9">
        <v>5.4559999999999999E-3</v>
      </c>
      <c r="K432" s="9">
        <v>5.44E-4</v>
      </c>
      <c r="L432">
        <v>0.17422511030000001</v>
      </c>
      <c r="M432">
        <v>0.1045350662</v>
      </c>
    </row>
    <row r="433" spans="1:13" x14ac:dyDescent="0.3">
      <c r="A433" t="s">
        <v>40</v>
      </c>
      <c r="B433" t="s">
        <v>16</v>
      </c>
      <c r="C433" t="s">
        <v>29</v>
      </c>
      <c r="D433" t="s">
        <v>27</v>
      </c>
      <c r="E433">
        <v>2040</v>
      </c>
      <c r="F433">
        <f>121.708/8500</f>
        <v>1.4318588235294118E-2</v>
      </c>
      <c r="G433" s="3">
        <f t="shared" si="14"/>
        <v>0.13788800470588236</v>
      </c>
      <c r="H433" s="3">
        <f>0*((0.993)^18)</f>
        <v>0</v>
      </c>
      <c r="I433" s="9">
        <v>3.4559999999999999E-3</v>
      </c>
      <c r="J433" s="9">
        <v>5.4559999999999999E-3</v>
      </c>
      <c r="K433" s="9">
        <v>5.44E-4</v>
      </c>
      <c r="L433">
        <v>0.1723600059</v>
      </c>
      <c r="M433">
        <v>0.10341600350000001</v>
      </c>
    </row>
    <row r="434" spans="1:13" x14ac:dyDescent="0.3">
      <c r="A434" t="s">
        <v>40</v>
      </c>
      <c r="B434" t="s">
        <v>16</v>
      </c>
      <c r="C434" t="s">
        <v>29</v>
      </c>
      <c r="D434" t="s">
        <v>28</v>
      </c>
      <c r="E434">
        <v>2040</v>
      </c>
      <c r="G434" s="3">
        <f>G430*1.26</f>
        <v>0.10965572011058826</v>
      </c>
      <c r="H434" s="3">
        <f>(0.9*H429)*((0.993)^18)</f>
        <v>18.870318023230386</v>
      </c>
      <c r="I434" s="9">
        <v>3.4559999999999999E-3</v>
      </c>
      <c r="J434" s="9">
        <v>5.4559999999999999E-3</v>
      </c>
      <c r="K434" s="9">
        <v>5.44E-4</v>
      </c>
      <c r="L434">
        <v>0.1370696501</v>
      </c>
      <c r="M434">
        <v>8.2241790080000002E-2</v>
      </c>
    </row>
    <row r="435" spans="1:13" x14ac:dyDescent="0.3">
      <c r="A435" t="s">
        <v>40</v>
      </c>
      <c r="B435" t="s">
        <v>16</v>
      </c>
      <c r="C435" t="s">
        <v>29</v>
      </c>
      <c r="D435" t="s">
        <v>13</v>
      </c>
      <c r="E435">
        <v>2040</v>
      </c>
      <c r="G435" s="3">
        <f>G434*1.05</f>
        <v>0.11513850611611767</v>
      </c>
      <c r="H435" s="3">
        <f>(H429*0.24)*((0.993)^18)</f>
        <v>5.0320848061947689</v>
      </c>
      <c r="I435" s="9">
        <v>3.4559999999999999E-3</v>
      </c>
      <c r="J435" s="9">
        <v>5.4559999999999999E-3</v>
      </c>
      <c r="K435" s="9">
        <v>5.44E-4</v>
      </c>
      <c r="L435">
        <v>0.1439231326</v>
      </c>
      <c r="M435">
        <v>8.6353879590000002E-2</v>
      </c>
    </row>
    <row r="436" spans="1:13" x14ac:dyDescent="0.3">
      <c r="A436" t="s">
        <v>40</v>
      </c>
      <c r="B436" t="s">
        <v>65</v>
      </c>
      <c r="C436" t="s">
        <v>29</v>
      </c>
      <c r="D436" t="s">
        <v>44</v>
      </c>
      <c r="E436">
        <v>2040</v>
      </c>
      <c r="F436">
        <f>69.833/8500</f>
        <v>8.2156470588235289E-3</v>
      </c>
      <c r="G436" s="3">
        <f t="shared" si="14"/>
        <v>7.9116681176470596E-2</v>
      </c>
      <c r="H436" s="3">
        <f>((42/14000)*9000)*((0.993)^18)</f>
        <v>23.793056564823939</v>
      </c>
      <c r="I436" s="9">
        <v>3.4559999999999999E-3</v>
      </c>
      <c r="J436" s="9">
        <v>5.4559999999999999E-3</v>
      </c>
      <c r="K436" s="9">
        <v>5.44E-4</v>
      </c>
      <c r="L436">
        <v>7.9116681179999995E-2</v>
      </c>
      <c r="M436">
        <v>7.9116681179999995E-2</v>
      </c>
    </row>
    <row r="437" spans="1:13" x14ac:dyDescent="0.3">
      <c r="A437" t="s">
        <v>40</v>
      </c>
      <c r="B437" t="s">
        <v>65</v>
      </c>
      <c r="C437" t="s">
        <v>29</v>
      </c>
      <c r="D437" t="s">
        <v>25</v>
      </c>
      <c r="E437">
        <v>2040</v>
      </c>
      <c r="G437" s="3">
        <f>G436*1.1</f>
        <v>8.7028349294117666E-2</v>
      </c>
      <c r="H437" s="3">
        <f>(0.93*H436)*((0.993)^18)</f>
        <v>19.499328624004733</v>
      </c>
      <c r="I437" s="9">
        <v>3.4559999999999999E-3</v>
      </c>
      <c r="J437" s="9">
        <v>5.4559999999999999E-3</v>
      </c>
      <c r="K437" s="9">
        <v>5.44E-4</v>
      </c>
      <c r="L437">
        <v>8.7028349290000001E-2</v>
      </c>
      <c r="M437">
        <v>8.7028349290000001E-2</v>
      </c>
    </row>
    <row r="438" spans="1:13" x14ac:dyDescent="0.3">
      <c r="A438" t="s">
        <v>40</v>
      </c>
      <c r="B438" t="s">
        <v>65</v>
      </c>
      <c r="C438" t="s">
        <v>29</v>
      </c>
      <c r="D438" t="s">
        <v>26</v>
      </c>
      <c r="E438">
        <v>2040</v>
      </c>
      <c r="G438" s="3">
        <f>G437*1.07</f>
        <v>9.3120333744705908E-2</v>
      </c>
      <c r="H438" s="3">
        <f>(H436*0.7)*((0.993)^18)</f>
        <v>14.676914018068077</v>
      </c>
      <c r="I438" s="9">
        <v>3.4559999999999999E-3</v>
      </c>
      <c r="J438" s="9">
        <v>5.4559999999999999E-3</v>
      </c>
      <c r="K438" s="9">
        <v>5.44E-4</v>
      </c>
      <c r="L438">
        <v>9.3120333740000005E-2</v>
      </c>
      <c r="M438">
        <v>9.3120333740000005E-2</v>
      </c>
    </row>
    <row r="439" spans="1:13" x14ac:dyDescent="0.3">
      <c r="A439" t="s">
        <v>40</v>
      </c>
      <c r="B439" t="s">
        <v>65</v>
      </c>
      <c r="C439" t="s">
        <v>29</v>
      </c>
      <c r="D439" t="s">
        <v>11</v>
      </c>
      <c r="E439">
        <v>2040</v>
      </c>
      <c r="F439">
        <f>123.025/8500</f>
        <v>1.4473529411764706E-2</v>
      </c>
      <c r="G439" s="3">
        <f t="shared" si="14"/>
        <v>0.13938008823529413</v>
      </c>
      <c r="H439" s="3">
        <f>0*((0.993)^18)</f>
        <v>0</v>
      </c>
      <c r="I439" s="9">
        <v>3.4559999999999999E-3</v>
      </c>
      <c r="J439" s="9">
        <v>5.4559999999999999E-3</v>
      </c>
      <c r="K439" s="9">
        <v>5.44E-4</v>
      </c>
      <c r="L439">
        <v>0.17422511030000001</v>
      </c>
      <c r="M439">
        <v>0.1045350662</v>
      </c>
    </row>
    <row r="440" spans="1:13" x14ac:dyDescent="0.3">
      <c r="A440" t="s">
        <v>40</v>
      </c>
      <c r="B440" t="s">
        <v>65</v>
      </c>
      <c r="C440" t="s">
        <v>29</v>
      </c>
      <c r="D440" t="s">
        <v>27</v>
      </c>
      <c r="E440">
        <v>2040</v>
      </c>
      <c r="F440">
        <f>121.708/8500</f>
        <v>1.4318588235294118E-2</v>
      </c>
      <c r="G440" s="3">
        <f t="shared" si="14"/>
        <v>0.13788800470588236</v>
      </c>
      <c r="H440" s="3">
        <f>0*((0.993)^18)</f>
        <v>0</v>
      </c>
      <c r="I440" s="9">
        <v>3.4559999999999999E-3</v>
      </c>
      <c r="J440" s="9">
        <v>5.4559999999999999E-3</v>
      </c>
      <c r="K440" s="9">
        <v>5.44E-4</v>
      </c>
      <c r="L440">
        <v>0.1723600059</v>
      </c>
      <c r="M440">
        <v>0.10341600350000001</v>
      </c>
    </row>
    <row r="441" spans="1:13" x14ac:dyDescent="0.3">
      <c r="A441" t="s">
        <v>40</v>
      </c>
      <c r="B441" t="s">
        <v>65</v>
      </c>
      <c r="C441" t="s">
        <v>29</v>
      </c>
      <c r="D441" t="s">
        <v>28</v>
      </c>
      <c r="E441">
        <v>2040</v>
      </c>
      <c r="G441" s="3">
        <f>G437*1.26</f>
        <v>0.10965572011058826</v>
      </c>
      <c r="H441" s="3">
        <f>(0.9*H436)*((0.993)^18)</f>
        <v>18.870318023230386</v>
      </c>
      <c r="I441" s="9">
        <v>3.4559999999999999E-3</v>
      </c>
      <c r="J441" s="9">
        <v>5.4559999999999999E-3</v>
      </c>
      <c r="K441" s="9">
        <v>5.44E-4</v>
      </c>
      <c r="L441">
        <v>0.1370696501</v>
      </c>
      <c r="M441">
        <v>8.2241790080000002E-2</v>
      </c>
    </row>
    <row r="442" spans="1:13" x14ac:dyDescent="0.3">
      <c r="A442" t="s">
        <v>40</v>
      </c>
      <c r="B442" t="s">
        <v>65</v>
      </c>
      <c r="C442" t="s">
        <v>29</v>
      </c>
      <c r="D442" t="s">
        <v>13</v>
      </c>
      <c r="E442">
        <v>2040</v>
      </c>
      <c r="G442" s="3">
        <f>G441*1.05</f>
        <v>0.11513850611611767</v>
      </c>
      <c r="H442" s="3">
        <f>(H436*0.24)*((0.993)^18)</f>
        <v>5.0320848061947689</v>
      </c>
      <c r="I442" s="9">
        <v>3.4559999999999999E-3</v>
      </c>
      <c r="J442" s="9">
        <v>5.4559999999999999E-3</v>
      </c>
      <c r="K442" s="9">
        <v>5.44E-4</v>
      </c>
      <c r="L442">
        <v>0.1439231326</v>
      </c>
      <c r="M442">
        <v>8.6353879590000002E-2</v>
      </c>
    </row>
    <row r="443" spans="1:13" x14ac:dyDescent="0.3">
      <c r="A443" t="s">
        <v>40</v>
      </c>
      <c r="B443" t="s">
        <v>18</v>
      </c>
      <c r="C443" t="s">
        <v>30</v>
      </c>
      <c r="D443" t="s">
        <v>44</v>
      </c>
      <c r="E443">
        <v>2040</v>
      </c>
      <c r="F443">
        <f>69.833/2500</f>
        <v>2.7933199999999998E-2</v>
      </c>
      <c r="G443" s="3">
        <f t="shared" si="14"/>
        <v>0.26899671600000002</v>
      </c>
      <c r="H443" s="3">
        <f>((28/4000)*2500)*((0.993)^18)</f>
        <v>15.421425551274776</v>
      </c>
      <c r="I443" s="9">
        <v>3.4559999999999999E-3</v>
      </c>
      <c r="J443" s="9">
        <v>5.4559999999999999E-3</v>
      </c>
      <c r="K443" s="9">
        <v>5.44E-4</v>
      </c>
      <c r="L443">
        <v>0.26899671600000002</v>
      </c>
      <c r="M443">
        <v>0.26899671600000002</v>
      </c>
    </row>
    <row r="444" spans="1:13" x14ac:dyDescent="0.3">
      <c r="A444" t="s">
        <v>40</v>
      </c>
      <c r="B444" t="s">
        <v>18</v>
      </c>
      <c r="C444" t="s">
        <v>30</v>
      </c>
      <c r="D444" t="s">
        <v>25</v>
      </c>
      <c r="E444">
        <v>2040</v>
      </c>
      <c r="G444" s="3">
        <f>G443*1.1</f>
        <v>0.29589638760000003</v>
      </c>
      <c r="H444" s="3">
        <f>(0.93*H443)*((0.993)^18)</f>
        <v>12.638453737780846</v>
      </c>
      <c r="I444" s="9">
        <v>3.4559999999999999E-3</v>
      </c>
      <c r="J444" s="9">
        <v>5.4559999999999999E-3</v>
      </c>
      <c r="K444" s="9">
        <v>5.44E-4</v>
      </c>
      <c r="L444">
        <v>0.29589638759999998</v>
      </c>
      <c r="M444">
        <v>0.29589638759999998</v>
      </c>
    </row>
    <row r="445" spans="1:13" x14ac:dyDescent="0.3">
      <c r="A445" t="s">
        <v>40</v>
      </c>
      <c r="B445" t="s">
        <v>18</v>
      </c>
      <c r="C445" t="s">
        <v>30</v>
      </c>
      <c r="D445" t="s">
        <v>26</v>
      </c>
      <c r="E445">
        <v>2040</v>
      </c>
      <c r="G445" s="3">
        <f>G444*1.07</f>
        <v>0.31660913473200003</v>
      </c>
      <c r="H445" s="3">
        <f>(H443*0.7)*((0.993)^18)</f>
        <v>9.5128146413404213</v>
      </c>
      <c r="I445" s="9">
        <v>3.4559999999999999E-3</v>
      </c>
      <c r="J445" s="9">
        <v>5.4559999999999999E-3</v>
      </c>
      <c r="K445" s="9">
        <v>5.44E-4</v>
      </c>
      <c r="L445">
        <v>0.31660913470000002</v>
      </c>
      <c r="M445">
        <v>0.31660913470000002</v>
      </c>
    </row>
    <row r="446" spans="1:13" x14ac:dyDescent="0.3">
      <c r="A446" t="s">
        <v>40</v>
      </c>
      <c r="B446" t="s">
        <v>18</v>
      </c>
      <c r="C446" t="s">
        <v>30</v>
      </c>
      <c r="D446" t="s">
        <v>11</v>
      </c>
      <c r="E446">
        <v>2040</v>
      </c>
      <c r="F446">
        <f>123.025/2500</f>
        <v>4.9210000000000004E-2</v>
      </c>
      <c r="G446" s="3">
        <f t="shared" si="14"/>
        <v>0.4738923000000001</v>
      </c>
      <c r="H446" s="3">
        <f>0*((0.993)^18)</f>
        <v>0</v>
      </c>
      <c r="I446" s="9">
        <v>3.4559999999999999E-3</v>
      </c>
      <c r="J446" s="9">
        <v>5.4559999999999999E-3</v>
      </c>
      <c r="K446" s="9">
        <v>5.44E-4</v>
      </c>
      <c r="L446">
        <v>0.59236537499999997</v>
      </c>
      <c r="M446">
        <v>0.35541922500000001</v>
      </c>
    </row>
    <row r="447" spans="1:13" x14ac:dyDescent="0.3">
      <c r="A447" t="s">
        <v>40</v>
      </c>
      <c r="B447" t="s">
        <v>18</v>
      </c>
      <c r="C447" t="s">
        <v>30</v>
      </c>
      <c r="D447" t="s">
        <v>27</v>
      </c>
      <c r="E447">
        <v>2040</v>
      </c>
      <c r="F447">
        <f>121.708/2500</f>
        <v>4.8683199999999996E-2</v>
      </c>
      <c r="G447" s="3">
        <f t="shared" si="14"/>
        <v>0.46881921599999998</v>
      </c>
      <c r="H447" s="3">
        <f>0*((0.993)^18)</f>
        <v>0</v>
      </c>
      <c r="I447" s="9">
        <v>3.4559999999999999E-3</v>
      </c>
      <c r="J447" s="9">
        <v>5.4559999999999999E-3</v>
      </c>
      <c r="K447" s="9">
        <v>5.44E-4</v>
      </c>
      <c r="L447">
        <v>0.58602401999999998</v>
      </c>
      <c r="M447">
        <v>0.35161441199999999</v>
      </c>
    </row>
    <row r="448" spans="1:13" x14ac:dyDescent="0.3">
      <c r="A448" t="s">
        <v>40</v>
      </c>
      <c r="B448" t="s">
        <v>18</v>
      </c>
      <c r="C448" t="s">
        <v>30</v>
      </c>
      <c r="D448" t="s">
        <v>28</v>
      </c>
      <c r="E448">
        <v>2040</v>
      </c>
      <c r="G448" s="3">
        <f>G444*1.26</f>
        <v>0.37282944837600002</v>
      </c>
      <c r="H448" s="3">
        <f>(0.9*H443)*((0.993)^18)</f>
        <v>12.230761681723401</v>
      </c>
      <c r="I448" s="9">
        <v>3.4559999999999999E-3</v>
      </c>
      <c r="J448" s="9">
        <v>5.4559999999999999E-3</v>
      </c>
      <c r="K448" s="9">
        <v>5.44E-4</v>
      </c>
      <c r="L448">
        <v>0.46603681050000001</v>
      </c>
      <c r="M448">
        <v>0.27962208630000002</v>
      </c>
    </row>
    <row r="449" spans="1:13" x14ac:dyDescent="0.3">
      <c r="A449" t="s">
        <v>40</v>
      </c>
      <c r="B449" t="s">
        <v>18</v>
      </c>
      <c r="C449" t="s">
        <v>30</v>
      </c>
      <c r="D449" t="s">
        <v>13</v>
      </c>
      <c r="E449">
        <v>2040</v>
      </c>
      <c r="G449" s="3">
        <f>G448*1.05</f>
        <v>0.39147092079480006</v>
      </c>
      <c r="H449" s="3">
        <f>(H443*0.24)*((0.993)^18)</f>
        <v>3.261536448459573</v>
      </c>
      <c r="I449" s="9">
        <v>3.4559999999999999E-3</v>
      </c>
      <c r="J449" s="9">
        <v>5.4559999999999999E-3</v>
      </c>
      <c r="K449" s="9">
        <v>5.44E-4</v>
      </c>
      <c r="L449">
        <v>0.48933865100000001</v>
      </c>
      <c r="M449">
        <v>0.29360319060000001</v>
      </c>
    </row>
    <row r="450" spans="1:13" x14ac:dyDescent="0.3">
      <c r="A450" t="s">
        <v>40</v>
      </c>
      <c r="B450" t="s">
        <v>20</v>
      </c>
      <c r="C450" t="s">
        <v>30</v>
      </c>
      <c r="D450" t="s">
        <v>44</v>
      </c>
      <c r="E450">
        <v>2040</v>
      </c>
      <c r="F450">
        <f>69.833/2500</f>
        <v>2.7933199999999998E-2</v>
      </c>
      <c r="G450" s="3">
        <f t="shared" si="14"/>
        <v>0.26899671600000002</v>
      </c>
      <c r="H450" s="3">
        <f>((28/4000)*2500)*((0.993)^18)</f>
        <v>15.421425551274776</v>
      </c>
      <c r="I450" s="9">
        <v>3.4559999999999999E-3</v>
      </c>
      <c r="J450" s="9">
        <v>5.4559999999999999E-3</v>
      </c>
      <c r="K450" s="9">
        <v>5.44E-4</v>
      </c>
      <c r="L450">
        <v>0.26899671600000002</v>
      </c>
      <c r="M450">
        <v>0.26899671600000002</v>
      </c>
    </row>
    <row r="451" spans="1:13" x14ac:dyDescent="0.3">
      <c r="A451" t="s">
        <v>40</v>
      </c>
      <c r="B451" t="s">
        <v>20</v>
      </c>
      <c r="C451" t="s">
        <v>30</v>
      </c>
      <c r="D451" t="s">
        <v>25</v>
      </c>
      <c r="E451">
        <v>2040</v>
      </c>
      <c r="G451" s="3">
        <f>G450*1.1</f>
        <v>0.29589638760000003</v>
      </c>
      <c r="H451" s="3">
        <f>(0.93*H450)*((0.993)^18)</f>
        <v>12.638453737780846</v>
      </c>
      <c r="I451" s="9">
        <v>3.4559999999999999E-3</v>
      </c>
      <c r="J451" s="9">
        <v>5.4559999999999999E-3</v>
      </c>
      <c r="K451" s="9">
        <v>5.44E-4</v>
      </c>
      <c r="L451">
        <v>0.29589638759999998</v>
      </c>
      <c r="M451">
        <v>0.29589638759999998</v>
      </c>
    </row>
    <row r="452" spans="1:13" x14ac:dyDescent="0.3">
      <c r="A452" t="s">
        <v>40</v>
      </c>
      <c r="B452" t="s">
        <v>20</v>
      </c>
      <c r="C452" t="s">
        <v>30</v>
      </c>
      <c r="D452" t="s">
        <v>26</v>
      </c>
      <c r="E452">
        <v>2040</v>
      </c>
      <c r="G452" s="3">
        <f>G451*1.07</f>
        <v>0.31660913473200003</v>
      </c>
      <c r="H452" s="3">
        <f>(H450*0.7)*((0.993)^18)</f>
        <v>9.5128146413404213</v>
      </c>
      <c r="I452" s="9">
        <v>3.4559999999999999E-3</v>
      </c>
      <c r="J452" s="9">
        <v>5.4559999999999999E-3</v>
      </c>
      <c r="K452" s="9">
        <v>5.44E-4</v>
      </c>
      <c r="L452">
        <v>0.31660913470000002</v>
      </c>
      <c r="M452">
        <v>0.31660913470000002</v>
      </c>
    </row>
    <row r="453" spans="1:13" x14ac:dyDescent="0.3">
      <c r="A453" t="s">
        <v>40</v>
      </c>
      <c r="B453" t="s">
        <v>20</v>
      </c>
      <c r="C453" t="s">
        <v>30</v>
      </c>
      <c r="D453" t="s">
        <v>11</v>
      </c>
      <c r="E453">
        <v>2040</v>
      </c>
      <c r="F453">
        <f>123.025/2500</f>
        <v>4.9210000000000004E-2</v>
      </c>
      <c r="G453" s="3">
        <f t="shared" si="14"/>
        <v>0.4738923000000001</v>
      </c>
      <c r="H453" s="3">
        <f>0*((0.993)^18)</f>
        <v>0</v>
      </c>
      <c r="I453" s="9">
        <v>3.4559999999999999E-3</v>
      </c>
      <c r="J453" s="9">
        <v>5.4559999999999999E-3</v>
      </c>
      <c r="K453" s="9">
        <v>5.44E-4</v>
      </c>
      <c r="L453">
        <v>0.59236537499999997</v>
      </c>
      <c r="M453">
        <v>0.35541922500000001</v>
      </c>
    </row>
    <row r="454" spans="1:13" x14ac:dyDescent="0.3">
      <c r="A454" t="s">
        <v>40</v>
      </c>
      <c r="B454" t="s">
        <v>20</v>
      </c>
      <c r="C454" t="s">
        <v>30</v>
      </c>
      <c r="D454" t="s">
        <v>27</v>
      </c>
      <c r="E454">
        <v>2040</v>
      </c>
      <c r="F454">
        <f>121.708/2500</f>
        <v>4.8683199999999996E-2</v>
      </c>
      <c r="G454" s="3">
        <f t="shared" si="14"/>
        <v>0.46881921599999998</v>
      </c>
      <c r="H454" s="3">
        <f>0*((0.993)^18)</f>
        <v>0</v>
      </c>
      <c r="I454" s="9">
        <v>3.4559999999999999E-3</v>
      </c>
      <c r="J454" s="9">
        <v>5.4559999999999999E-3</v>
      </c>
      <c r="K454" s="9">
        <v>5.44E-4</v>
      </c>
      <c r="L454">
        <v>0.58602401999999998</v>
      </c>
      <c r="M454">
        <v>0.35161441199999999</v>
      </c>
    </row>
    <row r="455" spans="1:13" x14ac:dyDescent="0.3">
      <c r="A455" t="s">
        <v>40</v>
      </c>
      <c r="B455" t="s">
        <v>20</v>
      </c>
      <c r="C455" t="s">
        <v>30</v>
      </c>
      <c r="D455" t="s">
        <v>28</v>
      </c>
      <c r="E455">
        <v>2040</v>
      </c>
      <c r="G455" s="3">
        <f>G451*1.26</f>
        <v>0.37282944837600002</v>
      </c>
      <c r="H455" s="3">
        <f>(0.9*H450)*((0.993)^18)</f>
        <v>12.230761681723401</v>
      </c>
      <c r="I455" s="9">
        <v>3.4559999999999999E-3</v>
      </c>
      <c r="J455" s="9">
        <v>5.4559999999999999E-3</v>
      </c>
      <c r="K455" s="9">
        <v>5.44E-4</v>
      </c>
      <c r="L455">
        <v>0.46603681050000001</v>
      </c>
      <c r="M455">
        <v>0.27962208630000002</v>
      </c>
    </row>
    <row r="456" spans="1:13" x14ac:dyDescent="0.3">
      <c r="A456" t="s">
        <v>40</v>
      </c>
      <c r="B456" t="s">
        <v>20</v>
      </c>
      <c r="C456" t="s">
        <v>30</v>
      </c>
      <c r="D456" t="s">
        <v>13</v>
      </c>
      <c r="E456">
        <v>2040</v>
      </c>
      <c r="G456" s="3">
        <f>G455*1.05</f>
        <v>0.39147092079480006</v>
      </c>
      <c r="H456" s="3">
        <f>(H450*0.24)*((0.993)^18)</f>
        <v>3.261536448459573</v>
      </c>
      <c r="I456" s="9">
        <v>3.4559999999999999E-3</v>
      </c>
      <c r="J456" s="9">
        <v>5.4559999999999999E-3</v>
      </c>
      <c r="K456" s="9">
        <v>5.44E-4</v>
      </c>
      <c r="L456">
        <v>0.48933865100000001</v>
      </c>
      <c r="M456">
        <v>0.29360319060000001</v>
      </c>
    </row>
    <row r="457" spans="1:13" x14ac:dyDescent="0.3">
      <c r="A457" t="s">
        <v>40</v>
      </c>
      <c r="B457" t="s">
        <v>22</v>
      </c>
      <c r="C457" t="s">
        <v>31</v>
      </c>
      <c r="D457" t="s">
        <v>44</v>
      </c>
      <c r="E457">
        <v>2040</v>
      </c>
      <c r="F457">
        <f>69.833/17000</f>
        <v>4.1078235294117645E-3</v>
      </c>
      <c r="G457" s="3">
        <f t="shared" si="14"/>
        <v>3.9558340588235298E-2</v>
      </c>
      <c r="H457" s="3">
        <f>((12/15000)*17000)*((0.993)^18)</f>
        <v>11.984650714133542</v>
      </c>
      <c r="I457" s="9">
        <v>3.4559999999999999E-3</v>
      </c>
      <c r="J457" s="9">
        <v>5.4559999999999999E-3</v>
      </c>
      <c r="K457" s="9">
        <v>5.44E-4</v>
      </c>
      <c r="L457">
        <v>3.9558340589999998E-2</v>
      </c>
      <c r="M457">
        <v>3.9558340589999998E-2</v>
      </c>
    </row>
    <row r="458" spans="1:13" x14ac:dyDescent="0.3">
      <c r="A458" t="s">
        <v>40</v>
      </c>
      <c r="B458" t="s">
        <v>22</v>
      </c>
      <c r="C458" t="s">
        <v>31</v>
      </c>
      <c r="D458" t="s">
        <v>25</v>
      </c>
      <c r="E458">
        <v>2040</v>
      </c>
      <c r="G458" s="3">
        <f>G457*1.1</f>
        <v>4.3514174647058833E-2</v>
      </c>
      <c r="H458" s="3">
        <f>(0.93*H457)*((0.993)^18)</f>
        <v>9.8218840476468294</v>
      </c>
      <c r="I458" s="9">
        <v>3.4559999999999999E-3</v>
      </c>
      <c r="J458" s="9">
        <v>5.4559999999999999E-3</v>
      </c>
      <c r="K458" s="9">
        <v>5.44E-4</v>
      </c>
      <c r="L458">
        <v>4.3514174650000001E-2</v>
      </c>
      <c r="M458">
        <v>4.3514174650000001E-2</v>
      </c>
    </row>
    <row r="459" spans="1:13" x14ac:dyDescent="0.3">
      <c r="A459" t="s">
        <v>40</v>
      </c>
      <c r="B459" t="s">
        <v>22</v>
      </c>
      <c r="C459" t="s">
        <v>31</v>
      </c>
      <c r="D459" t="s">
        <v>26</v>
      </c>
      <c r="E459">
        <v>2040</v>
      </c>
      <c r="G459" s="3">
        <f>G458*1.07</f>
        <v>4.6560166872352954E-2</v>
      </c>
      <c r="H459" s="3">
        <f>(H457*0.7)*((0.993)^18)</f>
        <v>7.3928159498416983</v>
      </c>
      <c r="I459" s="9">
        <v>3.4559999999999999E-3</v>
      </c>
      <c r="J459" s="9">
        <v>5.4559999999999999E-3</v>
      </c>
      <c r="K459" s="9">
        <v>5.44E-4</v>
      </c>
      <c r="L459">
        <v>4.6560166870000003E-2</v>
      </c>
      <c r="M459">
        <v>4.6560166870000003E-2</v>
      </c>
    </row>
    <row r="460" spans="1:13" x14ac:dyDescent="0.3">
      <c r="A460" t="s">
        <v>40</v>
      </c>
      <c r="B460" t="s">
        <v>22</v>
      </c>
      <c r="C460" t="s">
        <v>31</v>
      </c>
      <c r="D460" t="s">
        <v>11</v>
      </c>
      <c r="E460">
        <v>2040</v>
      </c>
      <c r="F460">
        <f>123.025/17000</f>
        <v>7.2367647058823531E-3</v>
      </c>
      <c r="G460" s="3">
        <f t="shared" si="14"/>
        <v>6.9690044117647065E-2</v>
      </c>
      <c r="H460" s="3">
        <f>0*((0.993)^18)</f>
        <v>0</v>
      </c>
      <c r="I460" s="9">
        <v>3.4559999999999999E-3</v>
      </c>
      <c r="J460" s="9">
        <v>5.4559999999999999E-3</v>
      </c>
      <c r="K460" s="9">
        <v>5.44E-4</v>
      </c>
      <c r="L460">
        <v>8.7112555150000007E-2</v>
      </c>
      <c r="M460">
        <v>5.2267533089999998E-2</v>
      </c>
    </row>
    <row r="461" spans="1:13" x14ac:dyDescent="0.3">
      <c r="A461" t="s">
        <v>40</v>
      </c>
      <c r="B461" t="s">
        <v>22</v>
      </c>
      <c r="C461" t="s">
        <v>31</v>
      </c>
      <c r="D461" t="s">
        <v>27</v>
      </c>
      <c r="E461">
        <v>2040</v>
      </c>
      <c r="F461">
        <f>121.708/17000</f>
        <v>7.1592941176470588E-3</v>
      </c>
      <c r="G461" s="3">
        <f t="shared" si="14"/>
        <v>6.8944002352941181E-2</v>
      </c>
      <c r="H461" s="3">
        <f>0*((0.993)^18)</f>
        <v>0</v>
      </c>
      <c r="I461" s="9">
        <v>3.4559999999999999E-3</v>
      </c>
      <c r="J461" s="9">
        <v>5.4559999999999999E-3</v>
      </c>
      <c r="K461" s="9">
        <v>5.44E-4</v>
      </c>
      <c r="L461">
        <v>8.618000294E-2</v>
      </c>
      <c r="M461">
        <v>5.1708001759999997E-2</v>
      </c>
    </row>
    <row r="462" spans="1:13" x14ac:dyDescent="0.3">
      <c r="A462" t="s">
        <v>40</v>
      </c>
      <c r="B462" t="s">
        <v>22</v>
      </c>
      <c r="C462" t="s">
        <v>31</v>
      </c>
      <c r="D462" t="s">
        <v>28</v>
      </c>
      <c r="E462">
        <v>2040</v>
      </c>
      <c r="G462" s="3">
        <f>G458*1.26</f>
        <v>5.4827860055294129E-2</v>
      </c>
      <c r="H462" s="3">
        <f>(0.9*H457)*((0.993)^18)</f>
        <v>9.5050490783679003</v>
      </c>
      <c r="I462" s="9">
        <v>3.4559999999999999E-3</v>
      </c>
      <c r="J462" s="9">
        <v>5.4559999999999999E-3</v>
      </c>
      <c r="K462" s="9">
        <v>5.44E-4</v>
      </c>
      <c r="L462">
        <v>6.8534825069999999E-2</v>
      </c>
      <c r="M462">
        <v>4.1120895040000001E-2</v>
      </c>
    </row>
    <row r="463" spans="1:13" x14ac:dyDescent="0.3">
      <c r="A463" t="s">
        <v>40</v>
      </c>
      <c r="B463" t="s">
        <v>22</v>
      </c>
      <c r="C463" t="s">
        <v>31</v>
      </c>
      <c r="D463" t="s">
        <v>13</v>
      </c>
      <c r="E463">
        <v>2040</v>
      </c>
      <c r="G463" s="3">
        <f>G462*1.05</f>
        <v>5.7569253058058836E-2</v>
      </c>
      <c r="H463" s="3">
        <f>(H457*0.24)*((0.993)^18)</f>
        <v>2.5346797542314397</v>
      </c>
      <c r="I463" s="9">
        <v>3.4559999999999999E-3</v>
      </c>
      <c r="J463" s="9">
        <v>5.4559999999999999E-3</v>
      </c>
      <c r="K463" s="9">
        <v>5.44E-4</v>
      </c>
      <c r="L463">
        <v>7.1961566320000003E-2</v>
      </c>
      <c r="M463">
        <v>4.317693979E-2</v>
      </c>
    </row>
    <row r="464" spans="1:13" x14ac:dyDescent="0.3">
      <c r="A464" t="s">
        <v>32</v>
      </c>
      <c r="B464" t="s">
        <v>7</v>
      </c>
      <c r="C464" t="s">
        <v>33</v>
      </c>
      <c r="D464" t="s">
        <v>9</v>
      </c>
      <c r="E464">
        <v>2040</v>
      </c>
      <c r="F464">
        <f>F465*1.2</f>
        <v>1.44E-2</v>
      </c>
      <c r="G464" s="4">
        <f t="shared" si="14"/>
        <v>0.13867200000000002</v>
      </c>
      <c r="H464" s="4">
        <f>18.8*((0.993)^18)</f>
        <v>16.567017163655187</v>
      </c>
      <c r="I464" s="10">
        <v>3.4559999999999999E-3</v>
      </c>
      <c r="J464" s="10">
        <v>5.4559999999999999E-3</v>
      </c>
      <c r="K464" s="10">
        <v>5.44E-4</v>
      </c>
      <c r="L464">
        <v>0.13867199999999999</v>
      </c>
      <c r="M464">
        <v>0.13867199999999999</v>
      </c>
    </row>
    <row r="465" spans="1:13" x14ac:dyDescent="0.3">
      <c r="A465" t="s">
        <v>32</v>
      </c>
      <c r="B465" t="s">
        <v>7</v>
      </c>
      <c r="C465" t="s">
        <v>33</v>
      </c>
      <c r="D465" t="s">
        <v>34</v>
      </c>
      <c r="E465">
        <v>2040</v>
      </c>
      <c r="F465">
        <v>1.2E-2</v>
      </c>
      <c r="G465" s="4">
        <f t="shared" si="14"/>
        <v>0.11556000000000001</v>
      </c>
      <c r="H465" s="4">
        <f>0*((0.993)^18)</f>
        <v>0</v>
      </c>
      <c r="I465" s="10">
        <v>3.4559999999999999E-3</v>
      </c>
      <c r="J465" s="10">
        <v>5.4559999999999999E-3</v>
      </c>
      <c r="K465" s="10">
        <v>5.44E-4</v>
      </c>
      <c r="L465">
        <v>0.11556</v>
      </c>
      <c r="M465">
        <v>0.11556</v>
      </c>
    </row>
    <row r="466" spans="1:13" x14ac:dyDescent="0.3">
      <c r="A466" t="s">
        <v>32</v>
      </c>
      <c r="B466" t="s">
        <v>7</v>
      </c>
      <c r="C466" t="s">
        <v>33</v>
      </c>
      <c r="D466" t="s">
        <v>35</v>
      </c>
      <c r="E466">
        <v>2040</v>
      </c>
      <c r="F466">
        <f>F464*1.1</f>
        <v>1.584E-2</v>
      </c>
      <c r="G466" s="4">
        <f t="shared" si="14"/>
        <v>0.15253920000000001</v>
      </c>
      <c r="H466" s="4">
        <f>(H464*0.7)*((0.993)^18)</f>
        <v>10.219480871839993</v>
      </c>
      <c r="I466" s="10">
        <v>3.4559999999999999E-3</v>
      </c>
      <c r="J466" s="10">
        <v>5.4559999999999999E-3</v>
      </c>
      <c r="K466" s="10">
        <v>5.44E-4</v>
      </c>
      <c r="L466">
        <v>0.19067400000000001</v>
      </c>
      <c r="M466">
        <v>0.1144044</v>
      </c>
    </row>
    <row r="467" spans="1:13" x14ac:dyDescent="0.3">
      <c r="A467" t="s">
        <v>32</v>
      </c>
      <c r="B467" t="s">
        <v>7</v>
      </c>
      <c r="C467" t="s">
        <v>33</v>
      </c>
      <c r="D467" t="s">
        <v>36</v>
      </c>
      <c r="E467">
        <v>2040</v>
      </c>
      <c r="F467">
        <f>F464*1.13</f>
        <v>1.6271999999999998E-2</v>
      </c>
      <c r="G467" s="4">
        <f t="shared" si="14"/>
        <v>0.15669936000000001</v>
      </c>
      <c r="H467" s="4">
        <f>0*((0.993)^18)</f>
        <v>0</v>
      </c>
      <c r="I467" s="10">
        <v>3.4559999999999999E-3</v>
      </c>
      <c r="J467" s="10">
        <v>5.4559999999999999E-3</v>
      </c>
      <c r="K467" s="10">
        <v>5.44E-4</v>
      </c>
      <c r="L467">
        <v>0.1958742</v>
      </c>
      <c r="M467">
        <v>0.11752451999999999</v>
      </c>
    </row>
    <row r="468" spans="1:13" x14ac:dyDescent="0.3">
      <c r="A468" t="s">
        <v>32</v>
      </c>
      <c r="B468" t="s">
        <v>7</v>
      </c>
      <c r="C468" t="s">
        <v>33</v>
      </c>
      <c r="D468" t="s">
        <v>11</v>
      </c>
      <c r="E468">
        <v>2040</v>
      </c>
      <c r="F468">
        <f>F464*1.4</f>
        <v>2.0159999999999997E-2</v>
      </c>
      <c r="G468" s="4">
        <f t="shared" si="14"/>
        <v>0.1941408</v>
      </c>
      <c r="H468" s="4">
        <f>0*((0.993)^18)</f>
        <v>0</v>
      </c>
      <c r="I468" s="10">
        <v>3.4559999999999999E-3</v>
      </c>
      <c r="J468" s="10">
        <v>5.4559999999999999E-3</v>
      </c>
      <c r="K468" s="10">
        <v>5.44E-4</v>
      </c>
      <c r="L468">
        <v>0.242676</v>
      </c>
      <c r="M468">
        <v>0.1456056</v>
      </c>
    </row>
    <row r="469" spans="1:13" x14ac:dyDescent="0.3">
      <c r="A469" t="s">
        <v>32</v>
      </c>
      <c r="B469" t="s">
        <v>7</v>
      </c>
      <c r="C469" t="s">
        <v>33</v>
      </c>
      <c r="D469" t="s">
        <v>12</v>
      </c>
      <c r="E469">
        <v>2040</v>
      </c>
      <c r="F469">
        <f>F464*1.08</f>
        <v>1.5552E-2</v>
      </c>
      <c r="G469" s="4">
        <f t="shared" si="14"/>
        <v>0.14976576</v>
      </c>
      <c r="H469" s="4">
        <f>(H464*0.2)*((0.993)^18)</f>
        <v>2.9198516776685701</v>
      </c>
      <c r="I469" s="10">
        <v>3.4559999999999999E-3</v>
      </c>
      <c r="J469" s="10">
        <v>5.4559999999999999E-3</v>
      </c>
      <c r="K469" s="10">
        <v>5.44E-4</v>
      </c>
      <c r="L469">
        <v>0.18720719999999999</v>
      </c>
      <c r="M469">
        <v>0.11232432000000001</v>
      </c>
    </row>
    <row r="470" spans="1:13" x14ac:dyDescent="0.3">
      <c r="A470" t="s">
        <v>32</v>
      </c>
      <c r="B470" t="s">
        <v>14</v>
      </c>
      <c r="C470" t="s">
        <v>37</v>
      </c>
      <c r="D470" t="s">
        <v>9</v>
      </c>
      <c r="E470">
        <v>2040</v>
      </c>
      <c r="F470">
        <f>F471*1.2</f>
        <v>2.0400000000000001E-2</v>
      </c>
      <c r="G470" s="4">
        <f t="shared" si="14"/>
        <v>0.19645200000000004</v>
      </c>
      <c r="H470" s="4">
        <f>17.9*((0.993)^18)</f>
        <v>15.773915278161056</v>
      </c>
      <c r="I470" s="10">
        <v>3.4559999999999999E-3</v>
      </c>
      <c r="J470" s="10">
        <v>5.4559999999999999E-3</v>
      </c>
      <c r="K470" s="10">
        <v>5.44E-4</v>
      </c>
      <c r="L470">
        <v>0.19645199999999999</v>
      </c>
      <c r="M470">
        <v>0.19645199999999999</v>
      </c>
    </row>
    <row r="471" spans="1:13" x14ac:dyDescent="0.3">
      <c r="A471" t="s">
        <v>32</v>
      </c>
      <c r="B471" t="s">
        <v>14</v>
      </c>
      <c r="C471" t="s">
        <v>37</v>
      </c>
      <c r="D471" t="s">
        <v>34</v>
      </c>
      <c r="E471">
        <v>2040</v>
      </c>
      <c r="F471">
        <v>1.7000000000000001E-2</v>
      </c>
      <c r="G471" s="4">
        <f t="shared" si="14"/>
        <v>0.16371000000000002</v>
      </c>
      <c r="H471" s="4">
        <f>0*((0.993)^18)</f>
        <v>0</v>
      </c>
      <c r="I471" s="10">
        <v>3.4559999999999999E-3</v>
      </c>
      <c r="J471" s="10">
        <v>5.4559999999999999E-3</v>
      </c>
      <c r="K471" s="10">
        <v>5.44E-4</v>
      </c>
      <c r="L471">
        <v>0.16370999999999999</v>
      </c>
      <c r="M471">
        <v>0.16370999999999999</v>
      </c>
    </row>
    <row r="472" spans="1:13" x14ac:dyDescent="0.3">
      <c r="A472" t="s">
        <v>32</v>
      </c>
      <c r="B472" t="s">
        <v>14</v>
      </c>
      <c r="C472" t="s">
        <v>37</v>
      </c>
      <c r="D472" t="s">
        <v>35</v>
      </c>
      <c r="E472">
        <v>2040</v>
      </c>
      <c r="F472">
        <f>F470*1.1</f>
        <v>2.2440000000000005E-2</v>
      </c>
      <c r="G472" s="4">
        <f t="shared" si="14"/>
        <v>0.21609720000000007</v>
      </c>
      <c r="H472" s="4">
        <f>(H470*0.7)*((0.993)^18)</f>
        <v>9.7302504045710574</v>
      </c>
      <c r="I472" s="10">
        <v>3.4559999999999999E-3</v>
      </c>
      <c r="J472" s="10">
        <v>5.4559999999999999E-3</v>
      </c>
      <c r="K472" s="10">
        <v>5.44E-4</v>
      </c>
      <c r="L472">
        <v>0.27012150000000001</v>
      </c>
      <c r="M472">
        <v>0.16207289999999999</v>
      </c>
    </row>
    <row r="473" spans="1:13" x14ac:dyDescent="0.3">
      <c r="A473" t="s">
        <v>32</v>
      </c>
      <c r="B473" t="s">
        <v>14</v>
      </c>
      <c r="C473" t="s">
        <v>37</v>
      </c>
      <c r="D473" t="s">
        <v>36</v>
      </c>
      <c r="E473">
        <v>2040</v>
      </c>
      <c r="F473">
        <f>F470*1.13</f>
        <v>2.3052E-2</v>
      </c>
      <c r="G473" s="4">
        <f t="shared" si="14"/>
        <v>0.22199076000000001</v>
      </c>
      <c r="H473" s="4">
        <f>0*((0.993)^18)</f>
        <v>0</v>
      </c>
      <c r="I473" s="10">
        <v>3.4559999999999999E-3</v>
      </c>
      <c r="J473" s="10">
        <v>5.4559999999999999E-3</v>
      </c>
      <c r="K473" s="10">
        <v>5.44E-4</v>
      </c>
      <c r="L473">
        <v>0.27748845</v>
      </c>
      <c r="M473">
        <v>0.16649306999999999</v>
      </c>
    </row>
    <row r="474" spans="1:13" x14ac:dyDescent="0.3">
      <c r="A474" t="s">
        <v>32</v>
      </c>
      <c r="B474" t="s">
        <v>14</v>
      </c>
      <c r="C474" t="s">
        <v>37</v>
      </c>
      <c r="D474" t="s">
        <v>11</v>
      </c>
      <c r="E474">
        <v>2040</v>
      </c>
      <c r="F474">
        <f>F470*1.4</f>
        <v>2.8559999999999999E-2</v>
      </c>
      <c r="G474" s="4">
        <f t="shared" si="14"/>
        <v>0.27503280000000002</v>
      </c>
      <c r="H474" s="4">
        <f>0*((0.993)^18)</f>
        <v>0</v>
      </c>
      <c r="I474" s="10">
        <v>3.4559999999999999E-3</v>
      </c>
      <c r="J474" s="10">
        <v>5.4559999999999999E-3</v>
      </c>
      <c r="K474" s="10">
        <v>5.44E-4</v>
      </c>
      <c r="L474">
        <v>0.34379100000000001</v>
      </c>
      <c r="M474">
        <v>0.2062746</v>
      </c>
    </row>
    <row r="475" spans="1:13" x14ac:dyDescent="0.3">
      <c r="A475" t="s">
        <v>32</v>
      </c>
      <c r="B475" t="s">
        <v>14</v>
      </c>
      <c r="C475" t="s">
        <v>37</v>
      </c>
      <c r="D475" t="s">
        <v>12</v>
      </c>
      <c r="E475">
        <v>2040</v>
      </c>
      <c r="F475">
        <f>F470*1.08</f>
        <v>2.2032000000000003E-2</v>
      </c>
      <c r="G475" s="4">
        <f t="shared" si="14"/>
        <v>0.21216816000000005</v>
      </c>
      <c r="H475" s="4">
        <f>(H470*0.2)*((0.993)^18)</f>
        <v>2.7800715441631598</v>
      </c>
      <c r="I475" s="10">
        <v>3.4559999999999999E-3</v>
      </c>
      <c r="J475" s="10">
        <v>5.4559999999999999E-3</v>
      </c>
      <c r="K475" s="10">
        <v>5.44E-4</v>
      </c>
      <c r="L475">
        <v>0.26521020000000001</v>
      </c>
      <c r="M475">
        <v>0.15912612000000001</v>
      </c>
    </row>
    <row r="476" spans="1:13" x14ac:dyDescent="0.3">
      <c r="A476" t="s">
        <v>32</v>
      </c>
      <c r="B476" t="s">
        <v>16</v>
      </c>
      <c r="C476" t="s">
        <v>37</v>
      </c>
      <c r="D476" t="s">
        <v>9</v>
      </c>
      <c r="E476">
        <v>2040</v>
      </c>
      <c r="F476">
        <f>F477*1.2</f>
        <v>2.0400000000000001E-2</v>
      </c>
      <c r="G476" s="4">
        <f t="shared" si="14"/>
        <v>0.19645200000000004</v>
      </c>
      <c r="H476" s="4">
        <f>17.9*((0.993)^18)</f>
        <v>15.773915278161056</v>
      </c>
      <c r="I476" s="10">
        <v>3.4559999999999999E-3</v>
      </c>
      <c r="J476" s="10">
        <v>5.4559999999999999E-3</v>
      </c>
      <c r="K476" s="10">
        <v>5.44E-4</v>
      </c>
      <c r="L476">
        <v>0.19645199999999999</v>
      </c>
      <c r="M476">
        <v>0.19645199999999999</v>
      </c>
    </row>
    <row r="477" spans="1:13" x14ac:dyDescent="0.3">
      <c r="A477" t="s">
        <v>32</v>
      </c>
      <c r="B477" t="s">
        <v>16</v>
      </c>
      <c r="C477" t="s">
        <v>37</v>
      </c>
      <c r="D477" t="s">
        <v>34</v>
      </c>
      <c r="E477">
        <v>2040</v>
      </c>
      <c r="F477">
        <v>1.7000000000000001E-2</v>
      </c>
      <c r="G477" s="4">
        <f t="shared" si="14"/>
        <v>0.16371000000000002</v>
      </c>
      <c r="H477" s="4">
        <f>0*((0.993)^18)</f>
        <v>0</v>
      </c>
      <c r="I477" s="10">
        <v>3.4559999999999999E-3</v>
      </c>
      <c r="J477" s="10">
        <v>5.4559999999999999E-3</v>
      </c>
      <c r="K477" s="10">
        <v>5.44E-4</v>
      </c>
      <c r="L477">
        <v>0.16370999999999999</v>
      </c>
      <c r="M477">
        <v>0.16370999999999999</v>
      </c>
    </row>
    <row r="478" spans="1:13" x14ac:dyDescent="0.3">
      <c r="A478" t="s">
        <v>32</v>
      </c>
      <c r="B478" t="s">
        <v>16</v>
      </c>
      <c r="C478" t="s">
        <v>37</v>
      </c>
      <c r="D478" t="s">
        <v>35</v>
      </c>
      <c r="E478">
        <v>2040</v>
      </c>
      <c r="F478">
        <f>F476*1.1</f>
        <v>2.2440000000000005E-2</v>
      </c>
      <c r="G478" s="4">
        <f t="shared" si="14"/>
        <v>0.21609720000000007</v>
      </c>
      <c r="H478" s="4">
        <f>(H476*0.7)*((0.993)^18)</f>
        <v>9.7302504045710574</v>
      </c>
      <c r="I478" s="10">
        <v>3.4559999999999999E-3</v>
      </c>
      <c r="J478" s="10">
        <v>5.4559999999999999E-3</v>
      </c>
      <c r="K478" s="10">
        <v>5.44E-4</v>
      </c>
      <c r="L478">
        <v>0.27012150000000001</v>
      </c>
      <c r="M478">
        <v>0.16207289999999999</v>
      </c>
    </row>
    <row r="479" spans="1:13" x14ac:dyDescent="0.3">
      <c r="A479" t="s">
        <v>32</v>
      </c>
      <c r="B479" t="s">
        <v>16</v>
      </c>
      <c r="C479" t="s">
        <v>37</v>
      </c>
      <c r="D479" t="s">
        <v>36</v>
      </c>
      <c r="E479">
        <v>2040</v>
      </c>
      <c r="F479">
        <f>F476*1.13</f>
        <v>2.3052E-2</v>
      </c>
      <c r="G479" s="4">
        <f t="shared" ref="G479:G505" si="15">F479*$Q$2</f>
        <v>0.22199076000000001</v>
      </c>
      <c r="H479" s="4">
        <f>0*((0.993)^18)</f>
        <v>0</v>
      </c>
      <c r="I479" s="10">
        <v>3.4559999999999999E-3</v>
      </c>
      <c r="J479" s="10">
        <v>5.4559999999999999E-3</v>
      </c>
      <c r="K479" s="10">
        <v>5.44E-4</v>
      </c>
      <c r="L479">
        <v>0.27748845</v>
      </c>
      <c r="M479">
        <v>0.16649306999999999</v>
      </c>
    </row>
    <row r="480" spans="1:13" x14ac:dyDescent="0.3">
      <c r="A480" t="s">
        <v>32</v>
      </c>
      <c r="B480" t="s">
        <v>16</v>
      </c>
      <c r="C480" t="s">
        <v>37</v>
      </c>
      <c r="D480" t="s">
        <v>11</v>
      </c>
      <c r="E480">
        <v>2040</v>
      </c>
      <c r="F480">
        <f>F476*1.4</f>
        <v>2.8559999999999999E-2</v>
      </c>
      <c r="G480" s="4">
        <f t="shared" si="15"/>
        <v>0.27503280000000002</v>
      </c>
      <c r="H480" s="4">
        <f>0*((0.993)^18)</f>
        <v>0</v>
      </c>
      <c r="I480" s="10">
        <v>3.4559999999999999E-3</v>
      </c>
      <c r="J480" s="10">
        <v>5.4559999999999999E-3</v>
      </c>
      <c r="K480" s="10">
        <v>5.44E-4</v>
      </c>
      <c r="L480">
        <v>0.34379100000000001</v>
      </c>
      <c r="M480">
        <v>0.2062746</v>
      </c>
    </row>
    <row r="481" spans="1:13" x14ac:dyDescent="0.3">
      <c r="A481" t="s">
        <v>32</v>
      </c>
      <c r="B481" t="s">
        <v>16</v>
      </c>
      <c r="C481" t="s">
        <v>37</v>
      </c>
      <c r="D481" t="s">
        <v>12</v>
      </c>
      <c r="E481">
        <v>2040</v>
      </c>
      <c r="F481">
        <f>F476*1.08</f>
        <v>2.2032000000000003E-2</v>
      </c>
      <c r="G481" s="4">
        <f t="shared" si="15"/>
        <v>0.21216816000000005</v>
      </c>
      <c r="H481" s="4">
        <f>(H476*0.2)*((0.993)^18)</f>
        <v>2.7800715441631598</v>
      </c>
      <c r="I481" s="10">
        <v>3.4559999999999999E-3</v>
      </c>
      <c r="J481" s="10">
        <v>5.4559999999999999E-3</v>
      </c>
      <c r="K481" s="10">
        <v>5.44E-4</v>
      </c>
      <c r="L481">
        <v>0.26521020000000001</v>
      </c>
      <c r="M481">
        <v>0.15912612000000001</v>
      </c>
    </row>
    <row r="482" spans="1:13" x14ac:dyDescent="0.3">
      <c r="A482" t="s">
        <v>32</v>
      </c>
      <c r="B482" t="s">
        <v>65</v>
      </c>
      <c r="C482" t="s">
        <v>37</v>
      </c>
      <c r="D482" t="s">
        <v>9</v>
      </c>
      <c r="E482">
        <v>2040</v>
      </c>
      <c r="F482">
        <f>F483*1.2</f>
        <v>2.0400000000000001E-2</v>
      </c>
      <c r="G482" s="4">
        <f t="shared" si="15"/>
        <v>0.19645200000000004</v>
      </c>
      <c r="H482" s="4">
        <f>17.9*((0.993)^18)</f>
        <v>15.773915278161056</v>
      </c>
      <c r="I482" s="10">
        <v>3.4559999999999999E-3</v>
      </c>
      <c r="J482" s="10">
        <v>5.4559999999999999E-3</v>
      </c>
      <c r="K482" s="10">
        <v>5.44E-4</v>
      </c>
      <c r="L482">
        <v>0.19645199999999999</v>
      </c>
      <c r="M482">
        <v>0.19645199999999999</v>
      </c>
    </row>
    <row r="483" spans="1:13" x14ac:dyDescent="0.3">
      <c r="A483" t="s">
        <v>32</v>
      </c>
      <c r="B483" t="s">
        <v>65</v>
      </c>
      <c r="C483" t="s">
        <v>37</v>
      </c>
      <c r="D483" t="s">
        <v>34</v>
      </c>
      <c r="E483">
        <v>2040</v>
      </c>
      <c r="F483">
        <v>1.7000000000000001E-2</v>
      </c>
      <c r="G483" s="4">
        <f t="shared" si="15"/>
        <v>0.16371000000000002</v>
      </c>
      <c r="H483" s="4">
        <f>0*((0.993)^18)</f>
        <v>0</v>
      </c>
      <c r="I483" s="10">
        <v>3.4559999999999999E-3</v>
      </c>
      <c r="J483" s="10">
        <v>5.4559999999999999E-3</v>
      </c>
      <c r="K483" s="10">
        <v>5.44E-4</v>
      </c>
      <c r="L483">
        <v>0.16370999999999999</v>
      </c>
      <c r="M483">
        <v>0.16370999999999999</v>
      </c>
    </row>
    <row r="484" spans="1:13" x14ac:dyDescent="0.3">
      <c r="A484" t="s">
        <v>32</v>
      </c>
      <c r="B484" t="s">
        <v>65</v>
      </c>
      <c r="C484" t="s">
        <v>37</v>
      </c>
      <c r="D484" t="s">
        <v>35</v>
      </c>
      <c r="E484">
        <v>2040</v>
      </c>
      <c r="F484">
        <f>F482*1.1</f>
        <v>2.2440000000000005E-2</v>
      </c>
      <c r="G484" s="4">
        <f t="shared" si="15"/>
        <v>0.21609720000000007</v>
      </c>
      <c r="H484" s="4">
        <f>(H482*0.7)*((0.993)^18)</f>
        <v>9.7302504045710574</v>
      </c>
      <c r="I484" s="10">
        <v>3.4559999999999999E-3</v>
      </c>
      <c r="J484" s="10">
        <v>5.4559999999999999E-3</v>
      </c>
      <c r="K484" s="10">
        <v>5.44E-4</v>
      </c>
      <c r="L484">
        <v>0.27012150000000001</v>
      </c>
      <c r="M484">
        <v>0.16207289999999999</v>
      </c>
    </row>
    <row r="485" spans="1:13" x14ac:dyDescent="0.3">
      <c r="A485" t="s">
        <v>32</v>
      </c>
      <c r="B485" t="s">
        <v>65</v>
      </c>
      <c r="C485" t="s">
        <v>37</v>
      </c>
      <c r="D485" t="s">
        <v>36</v>
      </c>
      <c r="E485">
        <v>2040</v>
      </c>
      <c r="F485">
        <f>F482*1.13</f>
        <v>2.3052E-2</v>
      </c>
      <c r="G485" s="4">
        <f t="shared" si="15"/>
        <v>0.22199076000000001</v>
      </c>
      <c r="H485" s="4">
        <f>0*((0.993)^18)</f>
        <v>0</v>
      </c>
      <c r="I485" s="10">
        <v>3.4559999999999999E-3</v>
      </c>
      <c r="J485" s="10">
        <v>5.4559999999999999E-3</v>
      </c>
      <c r="K485" s="10">
        <v>5.44E-4</v>
      </c>
      <c r="L485">
        <v>0.27748845</v>
      </c>
      <c r="M485">
        <v>0.16649306999999999</v>
      </c>
    </row>
    <row r="486" spans="1:13" x14ac:dyDescent="0.3">
      <c r="A486" t="s">
        <v>32</v>
      </c>
      <c r="B486" t="s">
        <v>65</v>
      </c>
      <c r="C486" t="s">
        <v>37</v>
      </c>
      <c r="D486" t="s">
        <v>11</v>
      </c>
      <c r="E486">
        <v>2040</v>
      </c>
      <c r="F486">
        <f>F482*1.4</f>
        <v>2.8559999999999999E-2</v>
      </c>
      <c r="G486" s="4">
        <f t="shared" si="15"/>
        <v>0.27503280000000002</v>
      </c>
      <c r="H486" s="4">
        <f>0*((0.993)^18)</f>
        <v>0</v>
      </c>
      <c r="I486" s="10">
        <v>3.4559999999999999E-3</v>
      </c>
      <c r="J486" s="10">
        <v>5.4559999999999999E-3</v>
      </c>
      <c r="K486" s="10">
        <v>5.44E-4</v>
      </c>
      <c r="L486">
        <v>0.34379100000000001</v>
      </c>
      <c r="M486">
        <v>0.2062746</v>
      </c>
    </row>
    <row r="487" spans="1:13" x14ac:dyDescent="0.3">
      <c r="A487" t="s">
        <v>32</v>
      </c>
      <c r="B487" t="s">
        <v>65</v>
      </c>
      <c r="C487" t="s">
        <v>37</v>
      </c>
      <c r="D487" t="s">
        <v>12</v>
      </c>
      <c r="E487">
        <v>2040</v>
      </c>
      <c r="F487">
        <f>F482*1.08</f>
        <v>2.2032000000000003E-2</v>
      </c>
      <c r="G487" s="4">
        <f t="shared" si="15"/>
        <v>0.21216816000000005</v>
      </c>
      <c r="H487" s="4">
        <f>(H482*0.2)*((0.993)^18)</f>
        <v>2.7800715441631598</v>
      </c>
      <c r="I487" s="10">
        <v>3.4559999999999999E-3</v>
      </c>
      <c r="J487" s="10">
        <v>5.4559999999999999E-3</v>
      </c>
      <c r="K487" s="10">
        <v>5.44E-4</v>
      </c>
      <c r="L487">
        <v>0.26521020000000001</v>
      </c>
      <c r="M487">
        <v>0.15912612000000001</v>
      </c>
    </row>
    <row r="488" spans="1:13" x14ac:dyDescent="0.3">
      <c r="A488" t="s">
        <v>32</v>
      </c>
      <c r="B488" t="s">
        <v>18</v>
      </c>
      <c r="C488" t="s">
        <v>37</v>
      </c>
      <c r="D488" t="s">
        <v>9</v>
      </c>
      <c r="E488">
        <v>2040</v>
      </c>
      <c r="F488">
        <f>F489*1.2</f>
        <v>2.0400000000000001E-2</v>
      </c>
      <c r="G488" s="4">
        <f t="shared" si="15"/>
        <v>0.19645200000000004</v>
      </c>
      <c r="H488" s="4">
        <f>17.9*((0.993)^18)</f>
        <v>15.773915278161056</v>
      </c>
      <c r="I488" s="10">
        <v>3.4559999999999999E-3</v>
      </c>
      <c r="J488" s="10">
        <v>5.4559999999999999E-3</v>
      </c>
      <c r="K488" s="10">
        <v>5.44E-4</v>
      </c>
      <c r="L488">
        <v>0.19645199999999999</v>
      </c>
      <c r="M488">
        <v>0.19645199999999999</v>
      </c>
    </row>
    <row r="489" spans="1:13" x14ac:dyDescent="0.3">
      <c r="A489" t="s">
        <v>32</v>
      </c>
      <c r="B489" t="s">
        <v>18</v>
      </c>
      <c r="C489" t="s">
        <v>37</v>
      </c>
      <c r="D489" t="s">
        <v>34</v>
      </c>
      <c r="E489">
        <v>2040</v>
      </c>
      <c r="F489">
        <v>1.7000000000000001E-2</v>
      </c>
      <c r="G489" s="4">
        <f t="shared" si="15"/>
        <v>0.16371000000000002</v>
      </c>
      <c r="H489" s="4">
        <f>0*((0.993)^18)</f>
        <v>0</v>
      </c>
      <c r="I489" s="10">
        <v>3.4559999999999999E-3</v>
      </c>
      <c r="J489" s="10">
        <v>5.4559999999999999E-3</v>
      </c>
      <c r="K489" s="10">
        <v>5.44E-4</v>
      </c>
      <c r="L489">
        <v>0.16370999999999999</v>
      </c>
      <c r="M489">
        <v>0.16370999999999999</v>
      </c>
    </row>
    <row r="490" spans="1:13" x14ac:dyDescent="0.3">
      <c r="A490" t="s">
        <v>32</v>
      </c>
      <c r="B490" t="s">
        <v>18</v>
      </c>
      <c r="C490" t="s">
        <v>37</v>
      </c>
      <c r="D490" t="s">
        <v>35</v>
      </c>
      <c r="E490">
        <v>2040</v>
      </c>
      <c r="F490">
        <f>F488*1.1</f>
        <v>2.2440000000000005E-2</v>
      </c>
      <c r="G490" s="4">
        <f t="shared" si="15"/>
        <v>0.21609720000000007</v>
      </c>
      <c r="H490" s="4">
        <f>(H488*0.7)*((0.993)^18)</f>
        <v>9.7302504045710574</v>
      </c>
      <c r="I490" s="10">
        <v>3.4559999999999999E-3</v>
      </c>
      <c r="J490" s="10">
        <v>5.4559999999999999E-3</v>
      </c>
      <c r="K490" s="10">
        <v>5.44E-4</v>
      </c>
      <c r="L490">
        <v>0.27012150000000001</v>
      </c>
      <c r="M490">
        <v>0.16207289999999999</v>
      </c>
    </row>
    <row r="491" spans="1:13" x14ac:dyDescent="0.3">
      <c r="A491" t="s">
        <v>32</v>
      </c>
      <c r="B491" t="s">
        <v>18</v>
      </c>
      <c r="C491" t="s">
        <v>37</v>
      </c>
      <c r="D491" t="s">
        <v>36</v>
      </c>
      <c r="E491">
        <v>2040</v>
      </c>
      <c r="F491">
        <f>F488*1.13</f>
        <v>2.3052E-2</v>
      </c>
      <c r="G491" s="4">
        <f t="shared" si="15"/>
        <v>0.22199076000000001</v>
      </c>
      <c r="H491" s="4">
        <f>0*((0.993)^18)</f>
        <v>0</v>
      </c>
      <c r="I491" s="10">
        <v>3.4559999999999999E-3</v>
      </c>
      <c r="J491" s="10">
        <v>5.4559999999999999E-3</v>
      </c>
      <c r="K491" s="10">
        <v>5.44E-4</v>
      </c>
      <c r="L491">
        <v>0.27748845</v>
      </c>
      <c r="M491">
        <v>0.16649306999999999</v>
      </c>
    </row>
    <row r="492" spans="1:13" x14ac:dyDescent="0.3">
      <c r="A492" t="s">
        <v>32</v>
      </c>
      <c r="B492" t="s">
        <v>18</v>
      </c>
      <c r="C492" t="s">
        <v>37</v>
      </c>
      <c r="D492" t="s">
        <v>11</v>
      </c>
      <c r="E492">
        <v>2040</v>
      </c>
      <c r="F492">
        <f>F488*1.4</f>
        <v>2.8559999999999999E-2</v>
      </c>
      <c r="G492" s="4">
        <f t="shared" si="15"/>
        <v>0.27503280000000002</v>
      </c>
      <c r="H492" s="4">
        <f>0*((0.993)^18)</f>
        <v>0</v>
      </c>
      <c r="I492" s="10">
        <v>3.4559999999999999E-3</v>
      </c>
      <c r="J492" s="10">
        <v>5.4559999999999999E-3</v>
      </c>
      <c r="K492" s="10">
        <v>5.44E-4</v>
      </c>
      <c r="L492">
        <v>0.34379100000000001</v>
      </c>
      <c r="M492">
        <v>0.2062746</v>
      </c>
    </row>
    <row r="493" spans="1:13" x14ac:dyDescent="0.3">
      <c r="A493" t="s">
        <v>32</v>
      </c>
      <c r="B493" t="s">
        <v>18</v>
      </c>
      <c r="C493" t="s">
        <v>37</v>
      </c>
      <c r="D493" t="s">
        <v>12</v>
      </c>
      <c r="E493">
        <v>2040</v>
      </c>
      <c r="F493">
        <f>F488*1.08</f>
        <v>2.2032000000000003E-2</v>
      </c>
      <c r="G493" s="4">
        <f t="shared" si="15"/>
        <v>0.21216816000000005</v>
      </c>
      <c r="H493" s="4">
        <f>(H488*0.2)*((0.993)^18)</f>
        <v>2.7800715441631598</v>
      </c>
      <c r="I493" s="10">
        <v>3.4559999999999999E-3</v>
      </c>
      <c r="J493" s="10">
        <v>5.4559999999999999E-3</v>
      </c>
      <c r="K493" s="10">
        <v>5.44E-4</v>
      </c>
      <c r="L493">
        <v>0.26521020000000001</v>
      </c>
      <c r="M493">
        <v>0.15912612000000001</v>
      </c>
    </row>
    <row r="494" spans="1:13" x14ac:dyDescent="0.3">
      <c r="A494" t="s">
        <v>32</v>
      </c>
      <c r="B494" t="s">
        <v>20</v>
      </c>
      <c r="C494" t="s">
        <v>38</v>
      </c>
      <c r="D494" t="s">
        <v>9</v>
      </c>
      <c r="E494">
        <v>2040</v>
      </c>
      <c r="F494">
        <f>F495*1.2</f>
        <v>2.0400000000000001E-2</v>
      </c>
      <c r="G494" s="4">
        <f t="shared" si="15"/>
        <v>0.19645200000000004</v>
      </c>
      <c r="H494" s="4">
        <f>30.8*((0.993)^18)</f>
        <v>27.141708970243606</v>
      </c>
      <c r="I494" s="10">
        <v>3.4559999999999999E-3</v>
      </c>
      <c r="J494" s="10">
        <v>5.4559999999999999E-3</v>
      </c>
      <c r="K494" s="10">
        <v>5.44E-4</v>
      </c>
      <c r="L494">
        <v>0.19645199999999999</v>
      </c>
      <c r="M494">
        <v>0.19645199999999999</v>
      </c>
    </row>
    <row r="495" spans="1:13" x14ac:dyDescent="0.3">
      <c r="A495" t="s">
        <v>32</v>
      </c>
      <c r="B495" t="s">
        <v>20</v>
      </c>
      <c r="C495" t="s">
        <v>38</v>
      </c>
      <c r="D495" t="s">
        <v>34</v>
      </c>
      <c r="E495">
        <v>2040</v>
      </c>
      <c r="F495">
        <v>1.7000000000000001E-2</v>
      </c>
      <c r="G495" s="4">
        <f t="shared" si="15"/>
        <v>0.16371000000000002</v>
      </c>
      <c r="H495" s="4">
        <f>0*((0.993)^18)</f>
        <v>0</v>
      </c>
      <c r="I495" s="10">
        <v>3.4559999999999999E-3</v>
      </c>
      <c r="J495" s="10">
        <v>5.4559999999999999E-3</v>
      </c>
      <c r="K495" s="10">
        <v>5.44E-4</v>
      </c>
      <c r="L495">
        <v>0.16370999999999999</v>
      </c>
      <c r="M495">
        <v>0.16370999999999999</v>
      </c>
    </row>
    <row r="496" spans="1:13" x14ac:dyDescent="0.3">
      <c r="A496" t="s">
        <v>32</v>
      </c>
      <c r="B496" t="s">
        <v>20</v>
      </c>
      <c r="C496" t="s">
        <v>38</v>
      </c>
      <c r="D496" t="s">
        <v>35</v>
      </c>
      <c r="E496">
        <v>2040</v>
      </c>
      <c r="F496">
        <f>F494*1.1</f>
        <v>2.2440000000000005E-2</v>
      </c>
      <c r="G496" s="4">
        <f t="shared" si="15"/>
        <v>0.21609720000000007</v>
      </c>
      <c r="H496" s="4">
        <f>(H494*0.7)*((0.993)^18)</f>
        <v>16.742553768759141</v>
      </c>
      <c r="I496" s="10">
        <v>3.4559999999999999E-3</v>
      </c>
      <c r="J496" s="10">
        <v>5.4559999999999999E-3</v>
      </c>
      <c r="K496" s="10">
        <v>5.44E-4</v>
      </c>
      <c r="L496">
        <v>0.27012150000000001</v>
      </c>
      <c r="M496">
        <v>0.16207289999999999</v>
      </c>
    </row>
    <row r="497" spans="1:13" x14ac:dyDescent="0.3">
      <c r="A497" t="s">
        <v>32</v>
      </c>
      <c r="B497" t="s">
        <v>20</v>
      </c>
      <c r="C497" t="s">
        <v>38</v>
      </c>
      <c r="D497" t="s">
        <v>36</v>
      </c>
      <c r="E497">
        <v>2040</v>
      </c>
      <c r="F497">
        <f>F494*1.13</f>
        <v>2.3052E-2</v>
      </c>
      <c r="G497" s="4">
        <f t="shared" si="15"/>
        <v>0.22199076000000001</v>
      </c>
      <c r="H497" s="4">
        <f>0*((0.993)^18)</f>
        <v>0</v>
      </c>
      <c r="I497" s="10">
        <v>3.4559999999999999E-3</v>
      </c>
      <c r="J497" s="10">
        <v>5.4559999999999999E-3</v>
      </c>
      <c r="K497" s="10">
        <v>5.44E-4</v>
      </c>
      <c r="L497">
        <v>0.27748845</v>
      </c>
      <c r="M497">
        <v>0.16649306999999999</v>
      </c>
    </row>
    <row r="498" spans="1:13" x14ac:dyDescent="0.3">
      <c r="A498" t="s">
        <v>32</v>
      </c>
      <c r="B498" t="s">
        <v>20</v>
      </c>
      <c r="C498" t="s">
        <v>38</v>
      </c>
      <c r="D498" t="s">
        <v>11</v>
      </c>
      <c r="E498">
        <v>2040</v>
      </c>
      <c r="F498">
        <f>F494*1.4</f>
        <v>2.8559999999999999E-2</v>
      </c>
      <c r="G498" s="4">
        <f t="shared" si="15"/>
        <v>0.27503280000000002</v>
      </c>
      <c r="H498" s="4">
        <f>0*((0.993)^18)</f>
        <v>0</v>
      </c>
      <c r="I498" s="10">
        <v>3.4559999999999999E-3</v>
      </c>
      <c r="J498" s="10">
        <v>5.4559999999999999E-3</v>
      </c>
      <c r="K498" s="10">
        <v>5.44E-4</v>
      </c>
      <c r="L498">
        <v>0.34379100000000001</v>
      </c>
      <c r="M498">
        <v>0.2062746</v>
      </c>
    </row>
    <row r="499" spans="1:13" x14ac:dyDescent="0.3">
      <c r="A499" t="s">
        <v>32</v>
      </c>
      <c r="B499" t="s">
        <v>20</v>
      </c>
      <c r="C499" t="s">
        <v>38</v>
      </c>
      <c r="D499" t="s">
        <v>12</v>
      </c>
      <c r="E499">
        <v>2040</v>
      </c>
      <c r="F499">
        <f>F494*1.08</f>
        <v>2.2032000000000003E-2</v>
      </c>
      <c r="G499" s="4">
        <f t="shared" si="15"/>
        <v>0.21216816000000005</v>
      </c>
      <c r="H499" s="4">
        <f>(H494*0.3)*((0.993)^18)</f>
        <v>7.1753801866110605</v>
      </c>
      <c r="I499" s="10">
        <v>3.4559999999999999E-3</v>
      </c>
      <c r="J499" s="10">
        <v>5.4559999999999999E-3</v>
      </c>
      <c r="K499" s="10">
        <v>5.44E-4</v>
      </c>
      <c r="L499">
        <v>0.26521020000000001</v>
      </c>
      <c r="M499">
        <v>0.15912612000000001</v>
      </c>
    </row>
    <row r="500" spans="1:13" x14ac:dyDescent="0.3">
      <c r="A500" t="s">
        <v>32</v>
      </c>
      <c r="B500" t="s">
        <v>22</v>
      </c>
      <c r="C500" t="s">
        <v>39</v>
      </c>
      <c r="D500" t="s">
        <v>9</v>
      </c>
      <c r="E500">
        <v>2040</v>
      </c>
      <c r="F500">
        <f>F501*1.2</f>
        <v>1.7999999999999999E-2</v>
      </c>
      <c r="G500" s="4">
        <f t="shared" si="15"/>
        <v>0.17333999999999999</v>
      </c>
      <c r="H500" s="4">
        <f>25.5*((0.993)^18)</f>
        <v>22.471220089000386</v>
      </c>
      <c r="I500" s="10">
        <v>3.4559999999999999E-3</v>
      </c>
      <c r="J500" s="10">
        <v>5.4559999999999999E-3</v>
      </c>
      <c r="K500" s="10">
        <v>5.44E-4</v>
      </c>
      <c r="L500">
        <v>0.17333999999999999</v>
      </c>
      <c r="M500">
        <v>0.17333999999999999</v>
      </c>
    </row>
    <row r="501" spans="1:13" x14ac:dyDescent="0.3">
      <c r="A501" t="s">
        <v>32</v>
      </c>
      <c r="B501" t="s">
        <v>22</v>
      </c>
      <c r="C501" t="s">
        <v>39</v>
      </c>
      <c r="D501" t="s">
        <v>34</v>
      </c>
      <c r="E501">
        <v>2040</v>
      </c>
      <c r="F501">
        <v>1.4999999999999999E-2</v>
      </c>
      <c r="G501" s="4">
        <f t="shared" si="15"/>
        <v>0.14445</v>
      </c>
      <c r="H501" s="4">
        <f>0*((0.993)^18)</f>
        <v>0</v>
      </c>
      <c r="I501" s="10">
        <v>3.4559999999999999E-3</v>
      </c>
      <c r="J501" s="10">
        <v>5.4559999999999999E-3</v>
      </c>
      <c r="K501" s="10">
        <v>5.44E-4</v>
      </c>
      <c r="L501">
        <v>0.14445</v>
      </c>
      <c r="M501">
        <v>0.14445</v>
      </c>
    </row>
    <row r="502" spans="1:13" x14ac:dyDescent="0.3">
      <c r="A502" t="s">
        <v>32</v>
      </c>
      <c r="B502" t="s">
        <v>22</v>
      </c>
      <c r="C502" t="s">
        <v>39</v>
      </c>
      <c r="D502" t="s">
        <v>35</v>
      </c>
      <c r="E502">
        <v>2040</v>
      </c>
      <c r="F502">
        <f>F500*1.1</f>
        <v>1.9800000000000002E-2</v>
      </c>
      <c r="G502" s="4">
        <f t="shared" si="15"/>
        <v>0.19067400000000004</v>
      </c>
      <c r="H502" s="4">
        <f>(H500*0.7)*((0.993)^18)</f>
        <v>13.861529905953184</v>
      </c>
      <c r="I502" s="10">
        <v>3.4559999999999999E-3</v>
      </c>
      <c r="J502" s="10">
        <v>5.4559999999999999E-3</v>
      </c>
      <c r="K502" s="10">
        <v>5.44E-4</v>
      </c>
      <c r="L502">
        <v>0.23834250000000001</v>
      </c>
      <c r="M502">
        <v>0.14300550000000001</v>
      </c>
    </row>
    <row r="503" spans="1:13" x14ac:dyDescent="0.3">
      <c r="A503" t="s">
        <v>32</v>
      </c>
      <c r="B503" t="s">
        <v>22</v>
      </c>
      <c r="C503" t="s">
        <v>39</v>
      </c>
      <c r="D503" t="s">
        <v>36</v>
      </c>
      <c r="E503">
        <v>2040</v>
      </c>
      <c r="F503">
        <f>F500*1.13</f>
        <v>2.0339999999999997E-2</v>
      </c>
      <c r="G503" s="4">
        <f t="shared" si="15"/>
        <v>0.1958742</v>
      </c>
      <c r="H503" s="4">
        <f>0*((0.993)^18)</f>
        <v>0</v>
      </c>
      <c r="I503" s="10">
        <v>3.4559999999999999E-3</v>
      </c>
      <c r="J503" s="10">
        <v>5.4559999999999999E-3</v>
      </c>
      <c r="K503" s="10">
        <v>5.44E-4</v>
      </c>
      <c r="L503">
        <v>0.24484275</v>
      </c>
      <c r="M503">
        <v>0.14690565</v>
      </c>
    </row>
    <row r="504" spans="1:13" x14ac:dyDescent="0.3">
      <c r="A504" t="s">
        <v>32</v>
      </c>
      <c r="B504" t="s">
        <v>22</v>
      </c>
      <c r="C504" t="s">
        <v>39</v>
      </c>
      <c r="D504" t="s">
        <v>11</v>
      </c>
      <c r="E504">
        <v>2040</v>
      </c>
      <c r="F504">
        <f>F500*1.4</f>
        <v>2.5199999999999997E-2</v>
      </c>
      <c r="G504" s="4">
        <f t="shared" si="15"/>
        <v>0.24267599999999998</v>
      </c>
      <c r="H504" s="4">
        <f>0*((0.993)^18)</f>
        <v>0</v>
      </c>
      <c r="I504" s="10">
        <v>3.4559999999999999E-3</v>
      </c>
      <c r="J504" s="10">
        <v>5.4559999999999999E-3</v>
      </c>
      <c r="K504" s="10">
        <v>5.44E-4</v>
      </c>
      <c r="L504">
        <v>0.30334499999999998</v>
      </c>
      <c r="M504">
        <v>0.182007</v>
      </c>
    </row>
    <row r="505" spans="1:13" x14ac:dyDescent="0.3">
      <c r="A505" t="s">
        <v>32</v>
      </c>
      <c r="B505" t="s">
        <v>22</v>
      </c>
      <c r="C505" t="s">
        <v>39</v>
      </c>
      <c r="D505" t="s">
        <v>12</v>
      </c>
      <c r="E505">
        <v>2040</v>
      </c>
      <c r="F505">
        <f>F500*1.08</f>
        <v>1.9439999999999999E-2</v>
      </c>
      <c r="G505" s="4">
        <f t="shared" si="15"/>
        <v>0.18720720000000002</v>
      </c>
      <c r="H505" s="4">
        <f>(H500*0.2)*((0.993)^18)</f>
        <v>3.9604371159866241</v>
      </c>
      <c r="I505" s="10">
        <v>3.4559999999999999E-3</v>
      </c>
      <c r="J505" s="10">
        <v>5.4559999999999999E-3</v>
      </c>
      <c r="K505" s="10">
        <v>5.44E-4</v>
      </c>
      <c r="L505">
        <v>0.23400899999999999</v>
      </c>
      <c r="M505">
        <v>0.14040540000000001</v>
      </c>
    </row>
    <row r="506" spans="1:13" x14ac:dyDescent="0.3">
      <c r="A506" t="s">
        <v>6</v>
      </c>
      <c r="B506" t="s">
        <v>7</v>
      </c>
      <c r="C506" t="s">
        <v>8</v>
      </c>
      <c r="D506" t="s">
        <v>9</v>
      </c>
      <c r="E506">
        <v>2050</v>
      </c>
      <c r="F506">
        <f>1.257/18.4</f>
        <v>6.8315217391304348E-2</v>
      </c>
      <c r="G506" s="2">
        <f t="shared" ref="G506:G538" si="16">F506*$Q$2</f>
        <v>0.65787554347826094</v>
      </c>
      <c r="H506" s="2">
        <f>(1274/18.4)*((0.993)^28)</f>
        <v>56.87619871076037</v>
      </c>
      <c r="I506" s="8">
        <v>4.9120000000000006E-3</v>
      </c>
      <c r="J506" s="8">
        <v>7.9119999999999989E-3</v>
      </c>
      <c r="K506" s="8">
        <v>5.44E-4</v>
      </c>
      <c r="L506">
        <v>0.65787554349999999</v>
      </c>
      <c r="M506">
        <v>0.65787554349999999</v>
      </c>
    </row>
    <row r="507" spans="1:13" x14ac:dyDescent="0.3">
      <c r="A507" t="s">
        <v>6</v>
      </c>
      <c r="B507" t="s">
        <v>7</v>
      </c>
      <c r="C507" t="s">
        <v>8</v>
      </c>
      <c r="D507" t="s">
        <v>10</v>
      </c>
      <c r="E507">
        <v>2050</v>
      </c>
      <c r="G507" s="2">
        <f>G506*0.83</f>
        <v>0.54603670108695657</v>
      </c>
      <c r="H507" s="2">
        <f>0*((0.993)^28)</f>
        <v>0</v>
      </c>
      <c r="I507" s="8">
        <v>4.9120000000000006E-3</v>
      </c>
      <c r="J507" s="8">
        <v>7.9119999999999989E-3</v>
      </c>
      <c r="K507" s="8">
        <v>5.44E-4</v>
      </c>
      <c r="L507">
        <v>0.68254587639999997</v>
      </c>
      <c r="M507">
        <v>0.40952752580000001</v>
      </c>
    </row>
    <row r="508" spans="1:13" x14ac:dyDescent="0.3">
      <c r="A508" t="s">
        <v>6</v>
      </c>
      <c r="B508" t="s">
        <v>7</v>
      </c>
      <c r="C508" t="s">
        <v>8</v>
      </c>
      <c r="D508" t="s">
        <v>11</v>
      </c>
      <c r="E508">
        <v>2050</v>
      </c>
      <c r="F508">
        <f>1.3537/18.4</f>
        <v>7.3570652173913037E-2</v>
      </c>
      <c r="G508" s="2">
        <f t="shared" si="16"/>
        <v>0.7084853804347826</v>
      </c>
      <c r="H508" s="2">
        <f>0*((0.993)^28)</f>
        <v>0</v>
      </c>
      <c r="I508" s="8">
        <v>4.9120000000000006E-3</v>
      </c>
      <c r="J508" s="8">
        <v>7.9119999999999989E-3</v>
      </c>
      <c r="K508" s="8">
        <v>5.44E-4</v>
      </c>
      <c r="L508">
        <v>0.88560672549999997</v>
      </c>
      <c r="M508">
        <v>0.53136403529999998</v>
      </c>
    </row>
    <row r="509" spans="1:13" x14ac:dyDescent="0.3">
      <c r="A509" t="s">
        <v>6</v>
      </c>
      <c r="B509" t="s">
        <v>7</v>
      </c>
      <c r="C509" t="s">
        <v>8</v>
      </c>
      <c r="D509" t="s">
        <v>12</v>
      </c>
      <c r="E509">
        <v>2050</v>
      </c>
      <c r="G509" s="2">
        <f>G506*1.17</f>
        <v>0.7697143858695652</v>
      </c>
      <c r="H509" s="2">
        <f>(((127+217)/2)/18.4)*((0.993)^28)</f>
        <v>7.6787332639331121</v>
      </c>
      <c r="I509" s="8">
        <v>4.9120000000000006E-3</v>
      </c>
      <c r="J509" s="8">
        <v>7.9119999999999989E-3</v>
      </c>
      <c r="K509" s="8">
        <v>5.44E-4</v>
      </c>
      <c r="L509">
        <v>0.96214298229999995</v>
      </c>
      <c r="M509">
        <v>0.57728578939999997</v>
      </c>
    </row>
    <row r="510" spans="1:13" x14ac:dyDescent="0.3">
      <c r="A510" t="s">
        <v>6</v>
      </c>
      <c r="B510" t="s">
        <v>7</v>
      </c>
      <c r="C510" t="s">
        <v>8</v>
      </c>
      <c r="D510" t="s">
        <v>13</v>
      </c>
      <c r="E510">
        <v>2050</v>
      </c>
      <c r="G510" s="2">
        <f>G506*1.1</f>
        <v>0.72366309782608707</v>
      </c>
      <c r="H510" s="2">
        <f>(156/18.4)*((0.993)^28)</f>
        <v>6.9644324951951484</v>
      </c>
      <c r="I510" s="8">
        <v>4.9120000000000006E-3</v>
      </c>
      <c r="J510" s="8">
        <v>7.9119999999999989E-3</v>
      </c>
      <c r="K510" s="8">
        <v>5.44E-4</v>
      </c>
      <c r="L510">
        <v>0.9045788723</v>
      </c>
      <c r="M510">
        <v>0.54274732339999998</v>
      </c>
    </row>
    <row r="511" spans="1:13" x14ac:dyDescent="0.3">
      <c r="A511" t="s">
        <v>6</v>
      </c>
      <c r="B511" t="s">
        <v>14</v>
      </c>
      <c r="C511" t="s">
        <v>15</v>
      </c>
      <c r="D511" t="s">
        <v>9</v>
      </c>
      <c r="E511">
        <v>2050</v>
      </c>
      <c r="F511">
        <f>1.257/33</f>
        <v>3.8090909090909085E-2</v>
      </c>
      <c r="G511" s="2">
        <f t="shared" si="16"/>
        <v>0.3668154545454545</v>
      </c>
      <c r="H511" s="2">
        <f>(1274/33)*((0.993)^28)</f>
        <v>31.712789584181539</v>
      </c>
      <c r="I511" s="8">
        <v>4.9120000000000006E-3</v>
      </c>
      <c r="J511" s="8">
        <v>7.9119999999999989E-3</v>
      </c>
      <c r="K511" s="8">
        <v>5.44E-4</v>
      </c>
      <c r="L511">
        <v>0.36681545450000003</v>
      </c>
      <c r="M511">
        <v>0.36681545450000003</v>
      </c>
    </row>
    <row r="512" spans="1:13" x14ac:dyDescent="0.3">
      <c r="A512" t="s">
        <v>6</v>
      </c>
      <c r="B512" t="s">
        <v>14</v>
      </c>
      <c r="C512" t="s">
        <v>15</v>
      </c>
      <c r="D512" t="s">
        <v>10</v>
      </c>
      <c r="E512">
        <v>2050</v>
      </c>
      <c r="G512" s="2">
        <f>G511*0.83</f>
        <v>0.30445682727272722</v>
      </c>
      <c r="H512" s="2">
        <f>0*((0.993)^28)</f>
        <v>0</v>
      </c>
      <c r="I512" s="8">
        <v>4.9120000000000006E-3</v>
      </c>
      <c r="J512" s="8">
        <v>7.9119999999999989E-3</v>
      </c>
      <c r="K512" s="8">
        <v>5.44E-4</v>
      </c>
      <c r="L512">
        <v>0.38057103409999998</v>
      </c>
      <c r="M512">
        <v>0.22834262050000001</v>
      </c>
    </row>
    <row r="513" spans="1:13" x14ac:dyDescent="0.3">
      <c r="A513" t="s">
        <v>6</v>
      </c>
      <c r="B513" t="s">
        <v>14</v>
      </c>
      <c r="C513" t="s">
        <v>15</v>
      </c>
      <c r="D513" t="s">
        <v>11</v>
      </c>
      <c r="E513">
        <v>2050</v>
      </c>
      <c r="F513">
        <f>1.3537/33</f>
        <v>4.1021212121212118E-2</v>
      </c>
      <c r="G513" s="2">
        <f t="shared" si="16"/>
        <v>0.39503427272727271</v>
      </c>
      <c r="H513" s="2">
        <f>0*((0.993)^28)</f>
        <v>0</v>
      </c>
      <c r="I513" s="8">
        <v>4.9120000000000006E-3</v>
      </c>
      <c r="J513" s="8">
        <v>7.9119999999999989E-3</v>
      </c>
      <c r="K513" s="8">
        <v>5.44E-4</v>
      </c>
      <c r="L513">
        <v>0.49379284089999997</v>
      </c>
      <c r="M513">
        <v>0.29627570450000001</v>
      </c>
    </row>
    <row r="514" spans="1:13" x14ac:dyDescent="0.3">
      <c r="A514" t="s">
        <v>6</v>
      </c>
      <c r="B514" t="s">
        <v>14</v>
      </c>
      <c r="C514" t="s">
        <v>15</v>
      </c>
      <c r="D514" t="s">
        <v>12</v>
      </c>
      <c r="E514">
        <v>2050</v>
      </c>
      <c r="G514" s="2">
        <f>G511*1.17</f>
        <v>0.42917408181818173</v>
      </c>
      <c r="H514" s="2">
        <f>(((127+217)/2)/33)*((0.993)^28)</f>
        <v>4.2814755168596736</v>
      </c>
      <c r="I514" s="8">
        <v>4.9120000000000006E-3</v>
      </c>
      <c r="J514" s="8">
        <v>7.9119999999999989E-3</v>
      </c>
      <c r="K514" s="8">
        <v>5.44E-4</v>
      </c>
      <c r="L514">
        <v>0.53646760230000001</v>
      </c>
      <c r="M514">
        <v>0.32188056139999999</v>
      </c>
    </row>
    <row r="515" spans="1:13" x14ac:dyDescent="0.3">
      <c r="A515" t="s">
        <v>6</v>
      </c>
      <c r="B515" t="s">
        <v>14</v>
      </c>
      <c r="C515" t="s">
        <v>15</v>
      </c>
      <c r="D515" t="s">
        <v>13</v>
      </c>
      <c r="E515">
        <v>2050</v>
      </c>
      <c r="G515" s="2">
        <f>G511*1.1</f>
        <v>0.40349699999999999</v>
      </c>
      <c r="H515" s="2">
        <f>(156/33)*((0.993)^28)</f>
        <v>3.8831987245936581</v>
      </c>
      <c r="I515" s="8">
        <v>4.9120000000000006E-3</v>
      </c>
      <c r="J515" s="8">
        <v>7.9119999999999989E-3</v>
      </c>
      <c r="K515" s="8">
        <v>5.44E-4</v>
      </c>
      <c r="L515">
        <v>0.50437125000000005</v>
      </c>
      <c r="M515">
        <v>0.30262275</v>
      </c>
    </row>
    <row r="516" spans="1:13" x14ac:dyDescent="0.3">
      <c r="A516" t="s">
        <v>6</v>
      </c>
      <c r="B516" t="s">
        <v>16</v>
      </c>
      <c r="C516" t="s">
        <v>17</v>
      </c>
      <c r="D516" t="s">
        <v>9</v>
      </c>
      <c r="E516">
        <v>2050</v>
      </c>
      <c r="F516">
        <f>1.257/33</f>
        <v>3.8090909090909085E-2</v>
      </c>
      <c r="G516" s="2">
        <f t="shared" si="16"/>
        <v>0.3668154545454545</v>
      </c>
      <c r="H516" s="2">
        <f>(1274/33)*((0.993)^28)</f>
        <v>31.712789584181539</v>
      </c>
      <c r="I516" s="8">
        <v>4.9120000000000006E-3</v>
      </c>
      <c r="J516" s="8">
        <v>7.9119999999999989E-3</v>
      </c>
      <c r="K516" s="8">
        <v>5.44E-4</v>
      </c>
      <c r="L516">
        <v>0.36681545450000003</v>
      </c>
      <c r="M516">
        <v>0.36681545450000003</v>
      </c>
    </row>
    <row r="517" spans="1:13" x14ac:dyDescent="0.3">
      <c r="A517" t="s">
        <v>6</v>
      </c>
      <c r="B517" t="s">
        <v>16</v>
      </c>
      <c r="C517" t="s">
        <v>17</v>
      </c>
      <c r="D517" t="s">
        <v>10</v>
      </c>
      <c r="E517">
        <v>2050</v>
      </c>
      <c r="G517" s="2">
        <f>G516*0.83</f>
        <v>0.30445682727272722</v>
      </c>
      <c r="H517" s="2">
        <f>0*((0.993)^28)</f>
        <v>0</v>
      </c>
      <c r="I517" s="8">
        <v>4.9120000000000006E-3</v>
      </c>
      <c r="J517" s="8">
        <v>7.9119999999999989E-3</v>
      </c>
      <c r="K517" s="8">
        <v>5.44E-4</v>
      </c>
      <c r="L517">
        <v>0.38057103409999998</v>
      </c>
      <c r="M517">
        <v>0.22834262050000001</v>
      </c>
    </row>
    <row r="518" spans="1:13" x14ac:dyDescent="0.3">
      <c r="A518" t="s">
        <v>6</v>
      </c>
      <c r="B518" t="s">
        <v>16</v>
      </c>
      <c r="C518" t="s">
        <v>17</v>
      </c>
      <c r="D518" t="s">
        <v>11</v>
      </c>
      <c r="E518">
        <v>2050</v>
      </c>
      <c r="F518">
        <f>1.3537/33</f>
        <v>4.1021212121212118E-2</v>
      </c>
      <c r="G518" s="2">
        <f t="shared" si="16"/>
        <v>0.39503427272727271</v>
      </c>
      <c r="H518" s="2">
        <f>0*((0.993)^28)</f>
        <v>0</v>
      </c>
      <c r="I518" s="8">
        <v>4.9120000000000006E-3</v>
      </c>
      <c r="J518" s="8">
        <v>7.9119999999999989E-3</v>
      </c>
      <c r="K518" s="8">
        <v>5.44E-4</v>
      </c>
      <c r="L518">
        <v>0.49379284089999997</v>
      </c>
      <c r="M518">
        <v>0.29627570450000001</v>
      </c>
    </row>
    <row r="519" spans="1:13" x14ac:dyDescent="0.3">
      <c r="A519" t="s">
        <v>6</v>
      </c>
      <c r="B519" t="s">
        <v>16</v>
      </c>
      <c r="C519" t="s">
        <v>17</v>
      </c>
      <c r="D519" t="s">
        <v>12</v>
      </c>
      <c r="E519">
        <v>2050</v>
      </c>
      <c r="G519" s="2">
        <f>G516*1.17</f>
        <v>0.42917408181818173</v>
      </c>
      <c r="H519" s="2">
        <f>(((127+217)/2)/33)*((0.993)^28)</f>
        <v>4.2814755168596736</v>
      </c>
      <c r="I519" s="8">
        <v>4.9120000000000006E-3</v>
      </c>
      <c r="J519" s="8">
        <v>7.9119999999999989E-3</v>
      </c>
      <c r="K519" s="8">
        <v>5.44E-4</v>
      </c>
      <c r="L519">
        <v>0.53646760230000001</v>
      </c>
      <c r="M519">
        <v>0.32188056139999999</v>
      </c>
    </row>
    <row r="520" spans="1:13" x14ac:dyDescent="0.3">
      <c r="A520" t="s">
        <v>6</v>
      </c>
      <c r="B520" t="s">
        <v>16</v>
      </c>
      <c r="C520" t="s">
        <v>17</v>
      </c>
      <c r="D520" t="s">
        <v>13</v>
      </c>
      <c r="E520">
        <v>2050</v>
      </c>
      <c r="G520" s="2">
        <f>G516*1.1</f>
        <v>0.40349699999999999</v>
      </c>
      <c r="H520" s="2">
        <f>(156/33)*((0.993)^28)</f>
        <v>3.8831987245936581</v>
      </c>
      <c r="I520" s="8">
        <v>4.9120000000000006E-3</v>
      </c>
      <c r="J520" s="8">
        <v>7.9119999999999989E-3</v>
      </c>
      <c r="K520" s="8">
        <v>5.44E-4</v>
      </c>
      <c r="L520">
        <v>0.50437125000000005</v>
      </c>
      <c r="M520">
        <v>0.30262275</v>
      </c>
    </row>
    <row r="521" spans="1:13" x14ac:dyDescent="0.3">
      <c r="A521" t="s">
        <v>6</v>
      </c>
      <c r="B521" t="s">
        <v>65</v>
      </c>
      <c r="C521" t="s">
        <v>17</v>
      </c>
      <c r="D521" t="s">
        <v>9</v>
      </c>
      <c r="E521">
        <v>2050</v>
      </c>
      <c r="F521">
        <f>1.257/33</f>
        <v>3.8090909090909085E-2</v>
      </c>
      <c r="G521" s="2">
        <f t="shared" si="16"/>
        <v>0.3668154545454545</v>
      </c>
      <c r="H521" s="2">
        <f>(1274/33)*((0.993)^28)</f>
        <v>31.712789584181539</v>
      </c>
      <c r="I521" s="8">
        <v>4.9120000000000006E-3</v>
      </c>
      <c r="J521" s="8">
        <v>7.9119999999999989E-3</v>
      </c>
      <c r="K521" s="8">
        <v>5.44E-4</v>
      </c>
      <c r="L521">
        <v>0.36681545450000003</v>
      </c>
      <c r="M521">
        <v>0.36681545450000003</v>
      </c>
    </row>
    <row r="522" spans="1:13" x14ac:dyDescent="0.3">
      <c r="A522" t="s">
        <v>6</v>
      </c>
      <c r="B522" t="s">
        <v>65</v>
      </c>
      <c r="C522" t="s">
        <v>17</v>
      </c>
      <c r="D522" t="s">
        <v>10</v>
      </c>
      <c r="E522">
        <v>2050</v>
      </c>
      <c r="G522" s="2">
        <f>G521*0.83</f>
        <v>0.30445682727272722</v>
      </c>
      <c r="H522" s="2">
        <f>0*((0.993)^28)</f>
        <v>0</v>
      </c>
      <c r="I522" s="8">
        <v>4.9120000000000006E-3</v>
      </c>
      <c r="J522" s="8">
        <v>7.9119999999999989E-3</v>
      </c>
      <c r="K522" s="8">
        <v>5.44E-4</v>
      </c>
      <c r="L522">
        <v>0.38057103409999998</v>
      </c>
      <c r="M522">
        <v>0.22834262050000001</v>
      </c>
    </row>
    <row r="523" spans="1:13" x14ac:dyDescent="0.3">
      <c r="A523" t="s">
        <v>6</v>
      </c>
      <c r="B523" t="s">
        <v>65</v>
      </c>
      <c r="C523" t="s">
        <v>17</v>
      </c>
      <c r="D523" t="s">
        <v>11</v>
      </c>
      <c r="E523">
        <v>2050</v>
      </c>
      <c r="F523">
        <f>1.3537/33</f>
        <v>4.1021212121212118E-2</v>
      </c>
      <c r="G523" s="2">
        <f t="shared" si="16"/>
        <v>0.39503427272727271</v>
      </c>
      <c r="H523" s="2">
        <f>0*((0.993)^28)</f>
        <v>0</v>
      </c>
      <c r="I523" s="8">
        <v>4.9120000000000006E-3</v>
      </c>
      <c r="J523" s="8">
        <v>7.9119999999999989E-3</v>
      </c>
      <c r="K523" s="8">
        <v>5.44E-4</v>
      </c>
      <c r="L523">
        <v>0.49379284089999997</v>
      </c>
      <c r="M523">
        <v>0.29627570450000001</v>
      </c>
    </row>
    <row r="524" spans="1:13" x14ac:dyDescent="0.3">
      <c r="A524" t="s">
        <v>6</v>
      </c>
      <c r="B524" t="s">
        <v>65</v>
      </c>
      <c r="C524" t="s">
        <v>17</v>
      </c>
      <c r="D524" t="s">
        <v>12</v>
      </c>
      <c r="E524">
        <v>2050</v>
      </c>
      <c r="G524" s="2">
        <f>G521*1.17</f>
        <v>0.42917408181818173</v>
      </c>
      <c r="H524" s="2">
        <f>(((127+217)/2)/33)*((0.993)^28)</f>
        <v>4.2814755168596736</v>
      </c>
      <c r="I524" s="8">
        <v>4.9120000000000006E-3</v>
      </c>
      <c r="J524" s="8">
        <v>7.9119999999999989E-3</v>
      </c>
      <c r="K524" s="8">
        <v>5.44E-4</v>
      </c>
      <c r="L524">
        <v>0.53646760230000001</v>
      </c>
      <c r="M524">
        <v>0.32188056139999999</v>
      </c>
    </row>
    <row r="525" spans="1:13" x14ac:dyDescent="0.3">
      <c r="A525" t="s">
        <v>6</v>
      </c>
      <c r="B525" t="s">
        <v>65</v>
      </c>
      <c r="C525" t="s">
        <v>17</v>
      </c>
      <c r="D525" t="s">
        <v>13</v>
      </c>
      <c r="E525">
        <v>2050</v>
      </c>
      <c r="G525" s="2">
        <f>G521*1.1</f>
        <v>0.40349699999999999</v>
      </c>
      <c r="H525" s="2">
        <f>(156/33)*((0.993)^28)</f>
        <v>3.8831987245936581</v>
      </c>
      <c r="I525" s="8">
        <v>4.9120000000000006E-3</v>
      </c>
      <c r="J525" s="8">
        <v>7.9119999999999989E-3</v>
      </c>
      <c r="K525" s="8">
        <v>5.44E-4</v>
      </c>
      <c r="L525">
        <v>0.50437125000000005</v>
      </c>
      <c r="M525">
        <v>0.30262275</v>
      </c>
    </row>
    <row r="526" spans="1:13" x14ac:dyDescent="0.3">
      <c r="A526" t="s">
        <v>6</v>
      </c>
      <c r="B526" t="s">
        <v>18</v>
      </c>
      <c r="C526" t="s">
        <v>19</v>
      </c>
      <c r="D526" t="s">
        <v>9</v>
      </c>
      <c r="E526">
        <v>2050</v>
      </c>
      <c r="F526">
        <f>1.257/33</f>
        <v>3.8090909090909085E-2</v>
      </c>
      <c r="G526" s="2">
        <f t="shared" si="16"/>
        <v>0.3668154545454545</v>
      </c>
      <c r="H526" s="2">
        <f>(1274/33)*((0.993)^28)</f>
        <v>31.712789584181539</v>
      </c>
      <c r="I526" s="8">
        <v>4.9120000000000006E-3</v>
      </c>
      <c r="J526" s="8">
        <v>7.9119999999999989E-3</v>
      </c>
      <c r="K526" s="8">
        <v>5.44E-4</v>
      </c>
      <c r="L526">
        <v>0.36681545450000003</v>
      </c>
      <c r="M526">
        <v>0.36681545450000003</v>
      </c>
    </row>
    <row r="527" spans="1:13" x14ac:dyDescent="0.3">
      <c r="A527" t="s">
        <v>6</v>
      </c>
      <c r="B527" t="s">
        <v>18</v>
      </c>
      <c r="C527" t="s">
        <v>19</v>
      </c>
      <c r="D527" t="s">
        <v>10</v>
      </c>
      <c r="E527">
        <v>2050</v>
      </c>
      <c r="G527" s="2">
        <f>G526*0.83</f>
        <v>0.30445682727272722</v>
      </c>
      <c r="H527" s="2">
        <f>0*((0.993)^28)</f>
        <v>0</v>
      </c>
      <c r="I527" s="8">
        <v>4.9120000000000006E-3</v>
      </c>
      <c r="J527" s="8">
        <v>7.9119999999999989E-3</v>
      </c>
      <c r="K527" s="8">
        <v>5.44E-4</v>
      </c>
      <c r="L527">
        <v>0.38057103409999998</v>
      </c>
      <c r="M527">
        <v>0.22834262050000001</v>
      </c>
    </row>
    <row r="528" spans="1:13" x14ac:dyDescent="0.3">
      <c r="A528" t="s">
        <v>6</v>
      </c>
      <c r="B528" t="s">
        <v>18</v>
      </c>
      <c r="C528" t="s">
        <v>19</v>
      </c>
      <c r="D528" t="s">
        <v>11</v>
      </c>
      <c r="E528">
        <v>2050</v>
      </c>
      <c r="F528">
        <f>1.3537/33</f>
        <v>4.1021212121212118E-2</v>
      </c>
      <c r="G528" s="2">
        <f t="shared" si="16"/>
        <v>0.39503427272727271</v>
      </c>
      <c r="H528" s="2">
        <f>0*((0.993)^28)</f>
        <v>0</v>
      </c>
      <c r="I528" s="8">
        <v>4.9120000000000006E-3</v>
      </c>
      <c r="J528" s="8">
        <v>7.9119999999999989E-3</v>
      </c>
      <c r="K528" s="8">
        <v>5.44E-4</v>
      </c>
      <c r="L528">
        <v>0.49379284089999997</v>
      </c>
      <c r="M528">
        <v>0.29627570450000001</v>
      </c>
    </row>
    <row r="529" spans="1:13" x14ac:dyDescent="0.3">
      <c r="A529" t="s">
        <v>6</v>
      </c>
      <c r="B529" t="s">
        <v>18</v>
      </c>
      <c r="C529" t="s">
        <v>19</v>
      </c>
      <c r="D529" t="s">
        <v>12</v>
      </c>
      <c r="E529">
        <v>2050</v>
      </c>
      <c r="G529" s="2">
        <f>G526*1.17</f>
        <v>0.42917408181818173</v>
      </c>
      <c r="H529" s="2">
        <f>(((127+217)/2)/33)*((0.993)^28)</f>
        <v>4.2814755168596736</v>
      </c>
      <c r="I529" s="8">
        <v>4.9120000000000006E-3</v>
      </c>
      <c r="J529" s="8">
        <v>7.9119999999999989E-3</v>
      </c>
      <c r="K529" s="8">
        <v>5.44E-4</v>
      </c>
      <c r="L529">
        <v>0.53646760230000001</v>
      </c>
      <c r="M529">
        <v>0.32188056139999999</v>
      </c>
    </row>
    <row r="530" spans="1:13" x14ac:dyDescent="0.3">
      <c r="A530" t="s">
        <v>6</v>
      </c>
      <c r="B530" t="s">
        <v>18</v>
      </c>
      <c r="C530" t="s">
        <v>19</v>
      </c>
      <c r="D530" t="s">
        <v>13</v>
      </c>
      <c r="E530">
        <v>2050</v>
      </c>
      <c r="G530" s="2">
        <f>G526*1.1</f>
        <v>0.40349699999999999</v>
      </c>
      <c r="H530" s="2">
        <f>(156/33)*((0.993)^28)</f>
        <v>3.8831987245936581</v>
      </c>
      <c r="I530" s="8">
        <v>4.9120000000000006E-3</v>
      </c>
      <c r="J530" s="8">
        <v>7.9119999999999989E-3</v>
      </c>
      <c r="K530" s="8">
        <v>5.44E-4</v>
      </c>
      <c r="L530">
        <v>0.50437125000000005</v>
      </c>
      <c r="M530">
        <v>0.30262275</v>
      </c>
    </row>
    <row r="531" spans="1:13" x14ac:dyDescent="0.3">
      <c r="A531" t="s">
        <v>6</v>
      </c>
      <c r="B531" t="s">
        <v>20</v>
      </c>
      <c r="C531" t="s">
        <v>21</v>
      </c>
      <c r="D531" t="s">
        <v>9</v>
      </c>
      <c r="E531">
        <v>2050</v>
      </c>
      <c r="F531">
        <f>1.257/34</f>
        <v>3.6970588235294116E-2</v>
      </c>
      <c r="G531" s="2">
        <f t="shared" si="16"/>
        <v>0.35602676470588235</v>
      </c>
      <c r="H531" s="2">
        <f>(1274/34)*((0.993)^28)</f>
        <v>30.780060478764433</v>
      </c>
      <c r="I531" s="8">
        <v>4.9120000000000006E-3</v>
      </c>
      <c r="J531" s="8">
        <v>7.9119999999999989E-3</v>
      </c>
      <c r="K531" s="8">
        <v>5.44E-4</v>
      </c>
      <c r="L531">
        <v>0.3560267647</v>
      </c>
      <c r="M531">
        <v>0.3560267647</v>
      </c>
    </row>
    <row r="532" spans="1:13" x14ac:dyDescent="0.3">
      <c r="A532" t="s">
        <v>6</v>
      </c>
      <c r="B532" t="s">
        <v>20</v>
      </c>
      <c r="C532" t="s">
        <v>21</v>
      </c>
      <c r="D532" t="s">
        <v>10</v>
      </c>
      <c r="E532">
        <v>2050</v>
      </c>
      <c r="G532" s="2">
        <f>G531*0.83</f>
        <v>0.29550221470588234</v>
      </c>
      <c r="H532" s="2">
        <f>0*((0.993)^28)</f>
        <v>0</v>
      </c>
      <c r="I532" s="8">
        <v>4.9120000000000006E-3</v>
      </c>
      <c r="J532" s="8">
        <v>7.9119999999999989E-3</v>
      </c>
      <c r="K532" s="8">
        <v>5.44E-4</v>
      </c>
      <c r="L532">
        <v>0.36937776839999997</v>
      </c>
      <c r="M532">
        <v>0.221626661</v>
      </c>
    </row>
    <row r="533" spans="1:13" x14ac:dyDescent="0.3">
      <c r="A533" t="s">
        <v>6</v>
      </c>
      <c r="B533" t="s">
        <v>20</v>
      </c>
      <c r="C533" t="s">
        <v>21</v>
      </c>
      <c r="D533" t="s">
        <v>11</v>
      </c>
      <c r="E533">
        <v>2050</v>
      </c>
      <c r="F533">
        <f>1.3537/34</f>
        <v>3.981470588235294E-2</v>
      </c>
      <c r="G533" s="2">
        <f t="shared" si="16"/>
        <v>0.38341561764705884</v>
      </c>
      <c r="H533" s="2">
        <f>0*((0.993)^28)</f>
        <v>0</v>
      </c>
      <c r="I533" s="8">
        <v>4.9120000000000006E-3</v>
      </c>
      <c r="J533" s="8">
        <v>7.9119999999999989E-3</v>
      </c>
      <c r="K533" s="8">
        <v>5.44E-4</v>
      </c>
      <c r="L533">
        <v>0.47926952210000001</v>
      </c>
      <c r="M533">
        <v>0.28756171320000001</v>
      </c>
    </row>
    <row r="534" spans="1:13" x14ac:dyDescent="0.3">
      <c r="A534" t="s">
        <v>6</v>
      </c>
      <c r="B534" t="s">
        <v>20</v>
      </c>
      <c r="C534" t="s">
        <v>21</v>
      </c>
      <c r="D534" t="s">
        <v>12</v>
      </c>
      <c r="E534">
        <v>2050</v>
      </c>
      <c r="G534" s="2">
        <f>G531*1.17</f>
        <v>0.4165513147058823</v>
      </c>
      <c r="H534" s="2">
        <f>(((127+217)/2)/34)*((0.993)^28)</f>
        <v>4.1555497663638006</v>
      </c>
      <c r="I534" s="8">
        <v>4.9120000000000006E-3</v>
      </c>
      <c r="J534" s="8">
        <v>7.9119999999999989E-3</v>
      </c>
      <c r="K534" s="8">
        <v>5.44E-4</v>
      </c>
      <c r="L534">
        <v>0.52068914340000005</v>
      </c>
      <c r="M534">
        <v>0.31241348600000002</v>
      </c>
    </row>
    <row r="535" spans="1:13" x14ac:dyDescent="0.3">
      <c r="A535" t="s">
        <v>6</v>
      </c>
      <c r="B535" t="s">
        <v>20</v>
      </c>
      <c r="C535" t="s">
        <v>21</v>
      </c>
      <c r="D535" t="s">
        <v>13</v>
      </c>
      <c r="E535">
        <v>2050</v>
      </c>
      <c r="G535" s="2">
        <f>G531*1.1</f>
        <v>0.39162944117647064</v>
      </c>
      <c r="H535" s="2">
        <f>(156/34)*((0.993)^28)</f>
        <v>3.7689869973997263</v>
      </c>
      <c r="I535" s="8">
        <v>4.9120000000000006E-3</v>
      </c>
      <c r="J535" s="8">
        <v>7.9119999999999989E-3</v>
      </c>
      <c r="K535" s="8">
        <v>5.44E-4</v>
      </c>
      <c r="L535">
        <v>0.48953680150000001</v>
      </c>
      <c r="M535">
        <v>0.29372208090000002</v>
      </c>
    </row>
    <row r="536" spans="1:13" x14ac:dyDescent="0.3">
      <c r="A536" t="s">
        <v>6</v>
      </c>
      <c r="B536" t="s">
        <v>22</v>
      </c>
      <c r="C536" t="s">
        <v>23</v>
      </c>
      <c r="D536" t="s">
        <v>9</v>
      </c>
      <c r="E536">
        <v>2050</v>
      </c>
      <c r="F536">
        <f>1.257/33</f>
        <v>3.8090909090909085E-2</v>
      </c>
      <c r="G536" s="2">
        <f t="shared" si="16"/>
        <v>0.3668154545454545</v>
      </c>
      <c r="H536" s="2">
        <f>(1274/33)*((0.993)^28)</f>
        <v>31.712789584181539</v>
      </c>
      <c r="I536" s="8">
        <v>4.9120000000000006E-3</v>
      </c>
      <c r="J536" s="8">
        <v>7.9119999999999989E-3</v>
      </c>
      <c r="K536" s="8">
        <v>5.44E-4</v>
      </c>
      <c r="L536">
        <v>0.36681545450000003</v>
      </c>
      <c r="M536">
        <v>0.36681545450000003</v>
      </c>
    </row>
    <row r="537" spans="1:13" x14ac:dyDescent="0.3">
      <c r="A537" t="s">
        <v>6</v>
      </c>
      <c r="B537" t="s">
        <v>22</v>
      </c>
      <c r="C537" t="s">
        <v>23</v>
      </c>
      <c r="D537" t="s">
        <v>10</v>
      </c>
      <c r="E537">
        <v>2050</v>
      </c>
      <c r="G537" s="2">
        <f>G536*0.83</f>
        <v>0.30445682727272722</v>
      </c>
      <c r="H537" s="2">
        <f>0*((0.993)^28)</f>
        <v>0</v>
      </c>
      <c r="I537" s="8">
        <v>4.9120000000000006E-3</v>
      </c>
      <c r="J537" s="8">
        <v>7.9119999999999989E-3</v>
      </c>
      <c r="K537" s="8">
        <v>5.44E-4</v>
      </c>
      <c r="L537">
        <v>0.38057103409999998</v>
      </c>
      <c r="M537">
        <v>0.22834262050000001</v>
      </c>
    </row>
    <row r="538" spans="1:13" x14ac:dyDescent="0.3">
      <c r="A538" t="s">
        <v>6</v>
      </c>
      <c r="B538" t="s">
        <v>22</v>
      </c>
      <c r="C538" t="s">
        <v>23</v>
      </c>
      <c r="D538" t="s">
        <v>11</v>
      </c>
      <c r="E538">
        <v>2050</v>
      </c>
      <c r="F538">
        <f>1.3537/33</f>
        <v>4.1021212121212118E-2</v>
      </c>
      <c r="G538" s="2">
        <f t="shared" si="16"/>
        <v>0.39503427272727271</v>
      </c>
      <c r="H538" s="2">
        <f>0*((0.993)^28)</f>
        <v>0</v>
      </c>
      <c r="I538" s="8">
        <v>4.9120000000000006E-3</v>
      </c>
      <c r="J538" s="8">
        <v>7.9119999999999989E-3</v>
      </c>
      <c r="K538" s="8">
        <v>5.44E-4</v>
      </c>
      <c r="L538">
        <v>0.49379284089999997</v>
      </c>
      <c r="M538">
        <v>0.29627570450000001</v>
      </c>
    </row>
    <row r="539" spans="1:13" x14ac:dyDescent="0.3">
      <c r="A539" t="s">
        <v>6</v>
      </c>
      <c r="B539" t="s">
        <v>22</v>
      </c>
      <c r="C539" t="s">
        <v>23</v>
      </c>
      <c r="D539" t="s">
        <v>12</v>
      </c>
      <c r="E539">
        <v>2050</v>
      </c>
      <c r="G539" s="2">
        <f>G536*1.17</f>
        <v>0.42917408181818173</v>
      </c>
      <c r="H539" s="2">
        <f>(((127+217)/2)/33)*((0.993)^28)</f>
        <v>4.2814755168596736</v>
      </c>
      <c r="I539" s="8">
        <v>4.9120000000000006E-3</v>
      </c>
      <c r="J539" s="8">
        <v>7.9119999999999989E-3</v>
      </c>
      <c r="K539" s="8">
        <v>5.44E-4</v>
      </c>
      <c r="L539">
        <v>0.53646760230000001</v>
      </c>
      <c r="M539">
        <v>0.32188056139999999</v>
      </c>
    </row>
    <row r="540" spans="1:13" x14ac:dyDescent="0.3">
      <c r="A540" t="s">
        <v>6</v>
      </c>
      <c r="B540" t="s">
        <v>22</v>
      </c>
      <c r="C540" t="s">
        <v>23</v>
      </c>
      <c r="D540" t="s">
        <v>13</v>
      </c>
      <c r="E540">
        <v>2050</v>
      </c>
      <c r="G540" s="2">
        <f>G536*1.1</f>
        <v>0.40349699999999999</v>
      </c>
      <c r="H540" s="2">
        <f>(156/33)*((0.993)^28)</f>
        <v>3.8831987245936581</v>
      </c>
      <c r="I540" s="8">
        <v>4.9120000000000006E-3</v>
      </c>
      <c r="J540" s="8">
        <v>7.9119999999999989E-3</v>
      </c>
      <c r="K540" s="8">
        <v>5.44E-4</v>
      </c>
      <c r="L540">
        <v>0.50437125000000005</v>
      </c>
      <c r="M540">
        <v>0.30262275</v>
      </c>
    </row>
    <row r="541" spans="1:13" x14ac:dyDescent="0.3">
      <c r="A541" t="s">
        <v>40</v>
      </c>
      <c r="B541" t="s">
        <v>7</v>
      </c>
      <c r="C541" t="s">
        <v>24</v>
      </c>
      <c r="D541" t="s">
        <v>44</v>
      </c>
      <c r="E541">
        <v>2050</v>
      </c>
      <c r="F541">
        <f>69.777/9000</f>
        <v>7.7530000000000003E-3</v>
      </c>
      <c r="G541" s="3">
        <f>F541*$Q$2</f>
        <v>7.4661390000000008E-2</v>
      </c>
      <c r="H541" s="3">
        <f>13*((0.993)^28)</f>
        <v>10.678796492632559</v>
      </c>
      <c r="I541" s="9">
        <v>4.9120000000000006E-3</v>
      </c>
      <c r="J541" s="9">
        <v>7.9119999999999989E-3</v>
      </c>
      <c r="K541" s="9">
        <v>5.44E-4</v>
      </c>
      <c r="L541">
        <v>7.4661389999999994E-2</v>
      </c>
      <c r="M541">
        <v>7.4661389999999994E-2</v>
      </c>
    </row>
    <row r="542" spans="1:13" x14ac:dyDescent="0.3">
      <c r="A542" t="s">
        <v>40</v>
      </c>
      <c r="B542" t="s">
        <v>7</v>
      </c>
      <c r="C542" t="s">
        <v>24</v>
      </c>
      <c r="D542" t="s">
        <v>25</v>
      </c>
      <c r="E542">
        <v>2050</v>
      </c>
      <c r="G542" s="3">
        <f>G541*1.1</f>
        <v>8.2127529000000019E-2</v>
      </c>
      <c r="H542" s="3">
        <f>(0.93*H541)*((0.993)^28)</f>
        <v>8.1580096856836253</v>
      </c>
      <c r="I542" s="9">
        <v>4.9120000000000006E-3</v>
      </c>
      <c r="J542" s="9">
        <v>7.9119999999999989E-3</v>
      </c>
      <c r="K542" s="9">
        <v>5.44E-4</v>
      </c>
      <c r="L542">
        <v>8.2127529000000005E-2</v>
      </c>
      <c r="M542">
        <v>8.2127529000000005E-2</v>
      </c>
    </row>
    <row r="543" spans="1:13" x14ac:dyDescent="0.3">
      <c r="A543" t="s">
        <v>40</v>
      </c>
      <c r="B543" t="s">
        <v>7</v>
      </c>
      <c r="C543" t="s">
        <v>24</v>
      </c>
      <c r="D543" t="s">
        <v>26</v>
      </c>
      <c r="E543">
        <v>2050</v>
      </c>
      <c r="G543" s="3">
        <f>G542*1.07</f>
        <v>8.7876456030000022E-2</v>
      </c>
      <c r="H543" s="3">
        <f>(H541*0.7)*((0.993)^28)</f>
        <v>6.1404373978263846</v>
      </c>
      <c r="I543" s="9">
        <v>4.9120000000000006E-3</v>
      </c>
      <c r="J543" s="9">
        <v>7.9119999999999989E-3</v>
      </c>
      <c r="K543" s="9">
        <v>5.44E-4</v>
      </c>
      <c r="L543">
        <v>8.7876456029999994E-2</v>
      </c>
      <c r="M543">
        <v>8.7876456029999994E-2</v>
      </c>
    </row>
    <row r="544" spans="1:13" x14ac:dyDescent="0.3">
      <c r="A544" t="s">
        <v>40</v>
      </c>
      <c r="B544" t="s">
        <v>7</v>
      </c>
      <c r="C544" t="s">
        <v>24</v>
      </c>
      <c r="D544" t="s">
        <v>11</v>
      </c>
      <c r="E544">
        <v>2050</v>
      </c>
      <c r="F544">
        <f>100.958/9000</f>
        <v>1.1217555555555555E-2</v>
      </c>
      <c r="G544" s="3">
        <f t="shared" ref="G544:G614" si="17">F544*$Q$2</f>
        <v>0.10802506000000001</v>
      </c>
      <c r="H544" s="3">
        <f>0*((0.993)^28)</f>
        <v>0</v>
      </c>
      <c r="I544" s="9">
        <v>4.9120000000000006E-3</v>
      </c>
      <c r="J544" s="9">
        <v>7.9119999999999989E-3</v>
      </c>
      <c r="K544" s="9">
        <v>5.44E-4</v>
      </c>
      <c r="L544">
        <v>0.13503132500000001</v>
      </c>
      <c r="M544">
        <v>8.1018795000000005E-2</v>
      </c>
    </row>
    <row r="545" spans="1:13" x14ac:dyDescent="0.3">
      <c r="A545" t="s">
        <v>40</v>
      </c>
      <c r="B545" t="s">
        <v>7</v>
      </c>
      <c r="C545" t="s">
        <v>24</v>
      </c>
      <c r="D545" t="s">
        <v>27</v>
      </c>
      <c r="E545">
        <v>2050</v>
      </c>
      <c r="F545">
        <f>98.43/9000</f>
        <v>1.0936666666666667E-2</v>
      </c>
      <c r="G545" s="3">
        <f t="shared" si="17"/>
        <v>0.10532010000000001</v>
      </c>
      <c r="H545" s="3">
        <f>0*((0.993)^28)</f>
        <v>0</v>
      </c>
      <c r="I545" s="9">
        <v>4.9120000000000006E-3</v>
      </c>
      <c r="J545" s="9">
        <v>7.9119999999999989E-3</v>
      </c>
      <c r="K545" s="9">
        <v>5.44E-4</v>
      </c>
      <c r="L545">
        <v>0.13165012500000001</v>
      </c>
      <c r="M545">
        <v>7.8990075000000007E-2</v>
      </c>
    </row>
    <row r="546" spans="1:13" x14ac:dyDescent="0.3">
      <c r="A546" t="s">
        <v>40</v>
      </c>
      <c r="B546" t="s">
        <v>7</v>
      </c>
      <c r="C546" t="s">
        <v>24</v>
      </c>
      <c r="D546" t="s">
        <v>28</v>
      </c>
      <c r="E546">
        <v>2050</v>
      </c>
      <c r="G546" s="3">
        <f>G542*1.28</f>
        <v>0.10512323712000003</v>
      </c>
      <c r="H546" s="3">
        <f>(0.9*H541)*((0.993)^28)</f>
        <v>7.8948480829196379</v>
      </c>
      <c r="I546" s="9">
        <v>4.9120000000000006E-3</v>
      </c>
      <c r="J546" s="9">
        <v>7.9119999999999989E-3</v>
      </c>
      <c r="K546" s="9">
        <v>5.44E-4</v>
      </c>
      <c r="L546">
        <v>0.1314040464</v>
      </c>
      <c r="M546">
        <v>7.8842427840000007E-2</v>
      </c>
    </row>
    <row r="547" spans="1:13" x14ac:dyDescent="0.3">
      <c r="A547" t="s">
        <v>40</v>
      </c>
      <c r="B547" t="s">
        <v>7</v>
      </c>
      <c r="C547" t="s">
        <v>24</v>
      </c>
      <c r="D547" t="s">
        <v>13</v>
      </c>
      <c r="E547">
        <v>2050</v>
      </c>
      <c r="G547" s="3">
        <f>G546*1.05</f>
        <v>0.11037939897600003</v>
      </c>
      <c r="H547" s="3">
        <f>(H541*0.24)*((0.993)^28)</f>
        <v>2.1052928221119034</v>
      </c>
      <c r="I547" s="9">
        <v>4.9120000000000006E-3</v>
      </c>
      <c r="J547" s="9">
        <v>7.9119999999999989E-3</v>
      </c>
      <c r="K547" s="9">
        <v>5.44E-4</v>
      </c>
      <c r="L547">
        <v>0.1379742487</v>
      </c>
      <c r="M547">
        <v>8.2784549230000004E-2</v>
      </c>
    </row>
    <row r="548" spans="1:13" x14ac:dyDescent="0.3">
      <c r="A548" t="s">
        <v>40</v>
      </c>
      <c r="B548" t="s">
        <v>14</v>
      </c>
      <c r="C548" t="s">
        <v>29</v>
      </c>
      <c r="D548" t="s">
        <v>44</v>
      </c>
      <c r="E548">
        <v>2050</v>
      </c>
      <c r="F548">
        <f>69.777/8500</f>
        <v>8.2090588235294113E-3</v>
      </c>
      <c r="G548" s="3">
        <f>F548*$Q$2</f>
        <v>7.9053236470588234E-2</v>
      </c>
      <c r="H548" s="3">
        <f>((42/14000)*9000)*((0.993)^28)</f>
        <v>22.179038869313775</v>
      </c>
      <c r="I548" s="9">
        <v>4.9120000000000006E-3</v>
      </c>
      <c r="J548" s="9">
        <v>7.9119999999999989E-3</v>
      </c>
      <c r="K548" s="9">
        <v>5.44E-4</v>
      </c>
      <c r="L548">
        <v>7.9053236469999996E-2</v>
      </c>
      <c r="M548">
        <v>7.9053236469999996E-2</v>
      </c>
    </row>
    <row r="549" spans="1:13" x14ac:dyDescent="0.3">
      <c r="A549" t="s">
        <v>40</v>
      </c>
      <c r="B549" t="s">
        <v>14</v>
      </c>
      <c r="C549" t="s">
        <v>29</v>
      </c>
      <c r="D549" t="s">
        <v>25</v>
      </c>
      <c r="E549">
        <v>2050</v>
      </c>
      <c r="G549" s="3">
        <f>G548*1.1</f>
        <v>8.6958560117647063E-2</v>
      </c>
      <c r="H549" s="3">
        <f>(0.93*H548)*((0.993)^28)</f>
        <v>16.943558577958299</v>
      </c>
      <c r="I549" s="9">
        <v>4.9120000000000006E-3</v>
      </c>
      <c r="J549" s="9">
        <v>7.9119999999999989E-3</v>
      </c>
      <c r="K549" s="9">
        <v>5.44E-4</v>
      </c>
      <c r="L549">
        <v>8.695856012E-2</v>
      </c>
      <c r="M549">
        <v>8.695856012E-2</v>
      </c>
    </row>
    <row r="550" spans="1:13" ht="14.1" customHeight="1" x14ac:dyDescent="0.3">
      <c r="A550" t="s">
        <v>40</v>
      </c>
      <c r="B550" t="s">
        <v>14</v>
      </c>
      <c r="C550" t="s">
        <v>29</v>
      </c>
      <c r="D550" t="s">
        <v>26</v>
      </c>
      <c r="E550">
        <v>2050</v>
      </c>
      <c r="G550" s="3">
        <f>G549*1.07</f>
        <v>9.3045659325882366E-2</v>
      </c>
      <c r="H550" s="3">
        <f>(H548*0.7)*((0.993)^28)</f>
        <v>12.753216133947106</v>
      </c>
      <c r="I550" s="9">
        <v>4.9120000000000006E-3</v>
      </c>
      <c r="J550" s="9">
        <v>7.9119999999999989E-3</v>
      </c>
      <c r="K550" s="9">
        <v>5.44E-4</v>
      </c>
      <c r="L550">
        <v>9.3045659330000002E-2</v>
      </c>
      <c r="M550">
        <v>9.3045659330000002E-2</v>
      </c>
    </row>
    <row r="551" spans="1:13" x14ac:dyDescent="0.3">
      <c r="A551" t="s">
        <v>40</v>
      </c>
      <c r="B551" t="s">
        <v>14</v>
      </c>
      <c r="C551" t="s">
        <v>29</v>
      </c>
      <c r="D551" t="s">
        <v>11</v>
      </c>
      <c r="E551">
        <v>2050</v>
      </c>
      <c r="F551">
        <f>100.958/8500</f>
        <v>1.1877411764705883E-2</v>
      </c>
      <c r="G551" s="3">
        <f t="shared" si="17"/>
        <v>0.11437947529411766</v>
      </c>
      <c r="H551" s="3">
        <f>0*((0.993)^28)</f>
        <v>0</v>
      </c>
      <c r="I551" s="9">
        <v>4.9120000000000006E-3</v>
      </c>
      <c r="J551" s="9">
        <v>7.9119999999999989E-3</v>
      </c>
      <c r="K551" s="9">
        <v>5.44E-4</v>
      </c>
      <c r="L551">
        <v>0.14297434410000001</v>
      </c>
      <c r="M551">
        <v>8.5784606469999997E-2</v>
      </c>
    </row>
    <row r="552" spans="1:13" x14ac:dyDescent="0.3">
      <c r="A552" t="s">
        <v>40</v>
      </c>
      <c r="B552" t="s">
        <v>14</v>
      </c>
      <c r="C552" t="s">
        <v>29</v>
      </c>
      <c r="D552" t="s">
        <v>27</v>
      </c>
      <c r="E552">
        <v>2050</v>
      </c>
      <c r="F552">
        <f>98.43/8500</f>
        <v>1.158E-2</v>
      </c>
      <c r="G552" s="3">
        <f t="shared" si="17"/>
        <v>0.11151540000000001</v>
      </c>
      <c r="H552" s="3">
        <f>0*((0.993)^28)</f>
        <v>0</v>
      </c>
      <c r="I552" s="9">
        <v>4.9120000000000006E-3</v>
      </c>
      <c r="J552" s="9">
        <v>7.9119999999999989E-3</v>
      </c>
      <c r="K552" s="9">
        <v>5.44E-4</v>
      </c>
      <c r="L552">
        <v>0.13939425</v>
      </c>
      <c r="M552">
        <v>8.3636550000000004E-2</v>
      </c>
    </row>
    <row r="553" spans="1:13" x14ac:dyDescent="0.3">
      <c r="A553" t="s">
        <v>40</v>
      </c>
      <c r="B553" t="s">
        <v>14</v>
      </c>
      <c r="C553" t="s">
        <v>29</v>
      </c>
      <c r="D553" t="s">
        <v>28</v>
      </c>
      <c r="E553">
        <v>2050</v>
      </c>
      <c r="G553" s="3">
        <f>G549*1.28</f>
        <v>0.11130695695058825</v>
      </c>
      <c r="H553" s="3">
        <f>(0.9*H548)*((0.993)^28)</f>
        <v>16.396992172217708</v>
      </c>
      <c r="I553" s="9">
        <v>4.9120000000000006E-3</v>
      </c>
      <c r="J553" s="9">
        <v>7.9119999999999989E-3</v>
      </c>
      <c r="K553" s="9">
        <v>5.44E-4</v>
      </c>
      <c r="L553">
        <v>0.13913369619999999</v>
      </c>
      <c r="M553">
        <v>8.3480217709999999E-2</v>
      </c>
    </row>
    <row r="554" spans="1:13" x14ac:dyDescent="0.3">
      <c r="A554" t="s">
        <v>40</v>
      </c>
      <c r="B554" t="s">
        <v>14</v>
      </c>
      <c r="C554" t="s">
        <v>29</v>
      </c>
      <c r="D554" t="s">
        <v>13</v>
      </c>
      <c r="E554">
        <v>2050</v>
      </c>
      <c r="G554" s="3">
        <f>G553*1.05</f>
        <v>0.11687230479811767</v>
      </c>
      <c r="H554" s="3">
        <f>(H548*0.24)*((0.993)^28)</f>
        <v>4.3725312459247228</v>
      </c>
      <c r="I554" s="9">
        <v>4.9120000000000006E-3</v>
      </c>
      <c r="J554" s="9">
        <v>7.9119999999999989E-3</v>
      </c>
      <c r="K554" s="9">
        <v>5.44E-4</v>
      </c>
      <c r="L554">
        <v>0.14609038099999999</v>
      </c>
      <c r="M554">
        <v>8.7654228599999995E-2</v>
      </c>
    </row>
    <row r="555" spans="1:13" x14ac:dyDescent="0.3">
      <c r="A555" t="s">
        <v>40</v>
      </c>
      <c r="B555" t="s">
        <v>16</v>
      </c>
      <c r="C555" t="s">
        <v>29</v>
      </c>
      <c r="D555" t="s">
        <v>44</v>
      </c>
      <c r="E555">
        <v>2050</v>
      </c>
      <c r="F555">
        <f>69.777/8500</f>
        <v>8.2090588235294113E-3</v>
      </c>
      <c r="G555" s="3">
        <f>F555*$Q$2</f>
        <v>7.9053236470588234E-2</v>
      </c>
      <c r="H555" s="3">
        <f>((42/14000)*9000)*((0.993)^28)</f>
        <v>22.179038869313775</v>
      </c>
      <c r="I555" s="9">
        <v>4.9120000000000006E-3</v>
      </c>
      <c r="J555" s="9">
        <v>7.9119999999999989E-3</v>
      </c>
      <c r="K555" s="9">
        <v>5.44E-4</v>
      </c>
      <c r="L555">
        <v>7.9053236469999996E-2</v>
      </c>
      <c r="M555">
        <v>7.9053236469999996E-2</v>
      </c>
    </row>
    <row r="556" spans="1:13" x14ac:dyDescent="0.3">
      <c r="A556" t="s">
        <v>40</v>
      </c>
      <c r="B556" t="s">
        <v>16</v>
      </c>
      <c r="C556" t="s">
        <v>29</v>
      </c>
      <c r="D556" t="s">
        <v>25</v>
      </c>
      <c r="E556">
        <v>2050</v>
      </c>
      <c r="G556" s="3">
        <f>G555*1.1</f>
        <v>8.6958560117647063E-2</v>
      </c>
      <c r="H556" s="3">
        <f>(0.93*H555)*((0.993)^28)</f>
        <v>16.943558577958299</v>
      </c>
      <c r="I556" s="9">
        <v>4.9120000000000006E-3</v>
      </c>
      <c r="J556" s="9">
        <v>7.9119999999999989E-3</v>
      </c>
      <c r="K556" s="9">
        <v>5.44E-4</v>
      </c>
      <c r="L556">
        <v>8.695856012E-2</v>
      </c>
      <c r="M556">
        <v>8.695856012E-2</v>
      </c>
    </row>
    <row r="557" spans="1:13" x14ac:dyDescent="0.3">
      <c r="A557" t="s">
        <v>40</v>
      </c>
      <c r="B557" t="s">
        <v>16</v>
      </c>
      <c r="C557" t="s">
        <v>29</v>
      </c>
      <c r="D557" t="s">
        <v>26</v>
      </c>
      <c r="E557">
        <v>2050</v>
      </c>
      <c r="G557" s="3">
        <f>G556*1.07</f>
        <v>9.3045659325882366E-2</v>
      </c>
      <c r="H557" s="3">
        <f>(H555*0.7)*((0.993)^28)</f>
        <v>12.753216133947106</v>
      </c>
      <c r="I557" s="9">
        <v>4.9120000000000006E-3</v>
      </c>
      <c r="J557" s="9">
        <v>7.9119999999999989E-3</v>
      </c>
      <c r="K557" s="9">
        <v>5.44E-4</v>
      </c>
      <c r="L557">
        <v>9.3045659330000002E-2</v>
      </c>
      <c r="M557">
        <v>9.3045659330000002E-2</v>
      </c>
    </row>
    <row r="558" spans="1:13" x14ac:dyDescent="0.3">
      <c r="A558" t="s">
        <v>40</v>
      </c>
      <c r="B558" t="s">
        <v>16</v>
      </c>
      <c r="C558" t="s">
        <v>29</v>
      </c>
      <c r="D558" t="s">
        <v>11</v>
      </c>
      <c r="E558">
        <v>2050</v>
      </c>
      <c r="F558">
        <f>100.958/8500</f>
        <v>1.1877411764705883E-2</v>
      </c>
      <c r="G558" s="3">
        <f t="shared" si="17"/>
        <v>0.11437947529411766</v>
      </c>
      <c r="H558" s="3">
        <f>0*((0.993)^28)</f>
        <v>0</v>
      </c>
      <c r="I558" s="9">
        <v>4.9120000000000006E-3</v>
      </c>
      <c r="J558" s="9">
        <v>7.9119999999999989E-3</v>
      </c>
      <c r="K558" s="9">
        <v>5.44E-4</v>
      </c>
      <c r="L558">
        <v>0.14297434410000001</v>
      </c>
      <c r="M558">
        <v>8.5784606469999997E-2</v>
      </c>
    </row>
    <row r="559" spans="1:13" x14ac:dyDescent="0.3">
      <c r="A559" t="s">
        <v>40</v>
      </c>
      <c r="B559" t="s">
        <v>16</v>
      </c>
      <c r="C559" t="s">
        <v>29</v>
      </c>
      <c r="D559" t="s">
        <v>27</v>
      </c>
      <c r="E559">
        <v>2050</v>
      </c>
      <c r="F559">
        <f>98.43/8500</f>
        <v>1.158E-2</v>
      </c>
      <c r="G559" s="3">
        <f t="shared" si="17"/>
        <v>0.11151540000000001</v>
      </c>
      <c r="H559" s="3">
        <f>0*((0.993)^28)</f>
        <v>0</v>
      </c>
      <c r="I559" s="9">
        <v>4.9120000000000006E-3</v>
      </c>
      <c r="J559" s="9">
        <v>7.9119999999999989E-3</v>
      </c>
      <c r="K559" s="9">
        <v>5.44E-4</v>
      </c>
      <c r="L559">
        <v>0.13939425</v>
      </c>
      <c r="M559">
        <v>8.3636550000000004E-2</v>
      </c>
    </row>
    <row r="560" spans="1:13" x14ac:dyDescent="0.3">
      <c r="A560" t="s">
        <v>40</v>
      </c>
      <c r="B560" t="s">
        <v>16</v>
      </c>
      <c r="C560" t="s">
        <v>29</v>
      </c>
      <c r="D560" t="s">
        <v>28</v>
      </c>
      <c r="E560">
        <v>2050</v>
      </c>
      <c r="G560" s="3">
        <f>G556*1.28</f>
        <v>0.11130695695058825</v>
      </c>
      <c r="H560" s="3">
        <f>(0.9*H555)*((0.993)^28)</f>
        <v>16.396992172217708</v>
      </c>
      <c r="I560" s="9">
        <v>4.9120000000000006E-3</v>
      </c>
      <c r="J560" s="9">
        <v>7.9119999999999989E-3</v>
      </c>
      <c r="K560" s="9">
        <v>5.44E-4</v>
      </c>
      <c r="L560">
        <v>0.13913369619999999</v>
      </c>
      <c r="M560">
        <v>8.3480217709999999E-2</v>
      </c>
    </row>
    <row r="561" spans="1:13" x14ac:dyDescent="0.3">
      <c r="A561" t="s">
        <v>40</v>
      </c>
      <c r="B561" t="s">
        <v>16</v>
      </c>
      <c r="C561" t="s">
        <v>29</v>
      </c>
      <c r="D561" t="s">
        <v>13</v>
      </c>
      <c r="E561">
        <v>2050</v>
      </c>
      <c r="G561" s="3">
        <f>G560*1.05</f>
        <v>0.11687230479811767</v>
      </c>
      <c r="H561" s="3">
        <f>(H555*0.24)*((0.993)^28)</f>
        <v>4.3725312459247228</v>
      </c>
      <c r="I561" s="9">
        <v>4.9120000000000006E-3</v>
      </c>
      <c r="J561" s="9">
        <v>7.9119999999999989E-3</v>
      </c>
      <c r="K561" s="9">
        <v>5.44E-4</v>
      </c>
      <c r="L561">
        <v>0.14609038099999999</v>
      </c>
      <c r="M561">
        <v>8.7654228599999995E-2</v>
      </c>
    </row>
    <row r="562" spans="1:13" x14ac:dyDescent="0.3">
      <c r="A562" t="s">
        <v>40</v>
      </c>
      <c r="B562" t="s">
        <v>65</v>
      </c>
      <c r="C562" t="s">
        <v>29</v>
      </c>
      <c r="D562" t="s">
        <v>44</v>
      </c>
      <c r="E562">
        <v>2050</v>
      </c>
      <c r="F562">
        <f>69.777/8500</f>
        <v>8.2090588235294113E-3</v>
      </c>
      <c r="G562" s="3">
        <f>F562*$Q$2</f>
        <v>7.9053236470588234E-2</v>
      </c>
      <c r="H562" s="3">
        <f>((42/14000)*9000)*((0.993)^28)</f>
        <v>22.179038869313775</v>
      </c>
      <c r="I562" s="9">
        <v>4.9120000000000006E-3</v>
      </c>
      <c r="J562" s="9">
        <v>7.9119999999999989E-3</v>
      </c>
      <c r="K562" s="9">
        <v>5.44E-4</v>
      </c>
      <c r="L562">
        <v>7.9053236469999996E-2</v>
      </c>
      <c r="M562">
        <v>7.9053236469999996E-2</v>
      </c>
    </row>
    <row r="563" spans="1:13" x14ac:dyDescent="0.3">
      <c r="A563" t="s">
        <v>40</v>
      </c>
      <c r="B563" t="s">
        <v>65</v>
      </c>
      <c r="C563" t="s">
        <v>29</v>
      </c>
      <c r="D563" t="s">
        <v>25</v>
      </c>
      <c r="E563">
        <v>2050</v>
      </c>
      <c r="G563" s="3">
        <f>G562*1.1</f>
        <v>8.6958560117647063E-2</v>
      </c>
      <c r="H563" s="3">
        <f>(0.93*H562)*((0.993)^28)</f>
        <v>16.943558577958299</v>
      </c>
      <c r="I563" s="9">
        <v>4.9120000000000006E-3</v>
      </c>
      <c r="J563" s="9">
        <v>7.9119999999999989E-3</v>
      </c>
      <c r="K563" s="9">
        <v>5.44E-4</v>
      </c>
      <c r="L563">
        <v>8.695856012E-2</v>
      </c>
      <c r="M563">
        <v>8.695856012E-2</v>
      </c>
    </row>
    <row r="564" spans="1:13" x14ac:dyDescent="0.3">
      <c r="A564" t="s">
        <v>40</v>
      </c>
      <c r="B564" t="s">
        <v>65</v>
      </c>
      <c r="C564" t="s">
        <v>29</v>
      </c>
      <c r="D564" t="s">
        <v>26</v>
      </c>
      <c r="E564">
        <v>2050</v>
      </c>
      <c r="G564" s="3">
        <f>G563*1.07</f>
        <v>9.3045659325882366E-2</v>
      </c>
      <c r="H564" s="3">
        <f>(H562*0.7)*((0.993)^28)</f>
        <v>12.753216133947106</v>
      </c>
      <c r="I564" s="9">
        <v>4.9120000000000006E-3</v>
      </c>
      <c r="J564" s="9">
        <v>7.9119999999999989E-3</v>
      </c>
      <c r="K564" s="9">
        <v>5.44E-4</v>
      </c>
      <c r="L564">
        <v>9.3045659330000002E-2</v>
      </c>
      <c r="M564">
        <v>9.3045659330000002E-2</v>
      </c>
    </row>
    <row r="565" spans="1:13" x14ac:dyDescent="0.3">
      <c r="A565" t="s">
        <v>40</v>
      </c>
      <c r="B565" t="s">
        <v>65</v>
      </c>
      <c r="C565" t="s">
        <v>29</v>
      </c>
      <c r="D565" t="s">
        <v>11</v>
      </c>
      <c r="E565">
        <v>2050</v>
      </c>
      <c r="F565">
        <f>100.958/8500</f>
        <v>1.1877411764705883E-2</v>
      </c>
      <c r="G565" s="3">
        <f t="shared" si="17"/>
        <v>0.11437947529411766</v>
      </c>
      <c r="H565" s="3">
        <f>0*((0.993)^28)</f>
        <v>0</v>
      </c>
      <c r="I565" s="9">
        <v>4.9120000000000006E-3</v>
      </c>
      <c r="J565" s="9">
        <v>7.9119999999999989E-3</v>
      </c>
      <c r="K565" s="9">
        <v>5.44E-4</v>
      </c>
      <c r="L565">
        <v>0.14297434410000001</v>
      </c>
      <c r="M565">
        <v>8.5784606469999997E-2</v>
      </c>
    </row>
    <row r="566" spans="1:13" x14ac:dyDescent="0.3">
      <c r="A566" t="s">
        <v>40</v>
      </c>
      <c r="B566" t="s">
        <v>65</v>
      </c>
      <c r="C566" t="s">
        <v>29</v>
      </c>
      <c r="D566" t="s">
        <v>27</v>
      </c>
      <c r="E566">
        <v>2050</v>
      </c>
      <c r="F566">
        <f>98.43/8500</f>
        <v>1.158E-2</v>
      </c>
      <c r="G566" s="3">
        <f t="shared" si="17"/>
        <v>0.11151540000000001</v>
      </c>
      <c r="H566" s="3">
        <f>0*((0.993)^28)</f>
        <v>0</v>
      </c>
      <c r="I566" s="9">
        <v>4.9120000000000006E-3</v>
      </c>
      <c r="J566" s="9">
        <v>7.9119999999999989E-3</v>
      </c>
      <c r="K566" s="9">
        <v>5.44E-4</v>
      </c>
      <c r="L566">
        <v>0.13939425</v>
      </c>
      <c r="M566">
        <v>8.3636550000000004E-2</v>
      </c>
    </row>
    <row r="567" spans="1:13" x14ac:dyDescent="0.3">
      <c r="A567" t="s">
        <v>40</v>
      </c>
      <c r="B567" t="s">
        <v>65</v>
      </c>
      <c r="C567" t="s">
        <v>29</v>
      </c>
      <c r="D567" t="s">
        <v>28</v>
      </c>
      <c r="E567">
        <v>2050</v>
      </c>
      <c r="G567" s="3">
        <f>G563*1.28</f>
        <v>0.11130695695058825</v>
      </c>
      <c r="H567" s="3">
        <f>(0.9*H562)*((0.993)^28)</f>
        <v>16.396992172217708</v>
      </c>
      <c r="I567" s="9">
        <v>4.9120000000000006E-3</v>
      </c>
      <c r="J567" s="9">
        <v>7.9119999999999989E-3</v>
      </c>
      <c r="K567" s="9">
        <v>5.44E-4</v>
      </c>
      <c r="L567">
        <v>0.13913369619999999</v>
      </c>
      <c r="M567">
        <v>8.3480217709999999E-2</v>
      </c>
    </row>
    <row r="568" spans="1:13" x14ac:dyDescent="0.3">
      <c r="A568" t="s">
        <v>40</v>
      </c>
      <c r="B568" t="s">
        <v>65</v>
      </c>
      <c r="C568" t="s">
        <v>29</v>
      </c>
      <c r="D568" t="s">
        <v>13</v>
      </c>
      <c r="E568">
        <v>2050</v>
      </c>
      <c r="G568" s="3">
        <f>G567*1.05</f>
        <v>0.11687230479811767</v>
      </c>
      <c r="H568" s="3">
        <f>(H562*0.24)*((0.993)^28)</f>
        <v>4.3725312459247228</v>
      </c>
      <c r="I568" s="9">
        <v>4.9120000000000006E-3</v>
      </c>
      <c r="J568" s="9">
        <v>7.9119999999999989E-3</v>
      </c>
      <c r="K568" s="9">
        <v>5.44E-4</v>
      </c>
      <c r="L568">
        <v>0.14609038099999999</v>
      </c>
      <c r="M568">
        <v>8.7654228599999995E-2</v>
      </c>
    </row>
    <row r="569" spans="1:13" x14ac:dyDescent="0.3">
      <c r="A569" t="s">
        <v>40</v>
      </c>
      <c r="B569" t="s">
        <v>18</v>
      </c>
      <c r="C569" t="s">
        <v>30</v>
      </c>
      <c r="D569" t="s">
        <v>44</v>
      </c>
      <c r="E569">
        <v>2050</v>
      </c>
      <c r="F569">
        <f>69.777/2500</f>
        <v>2.7910799999999999E-2</v>
      </c>
      <c r="G569" s="3">
        <f>F569*$Q$2</f>
        <v>0.26878100399999999</v>
      </c>
      <c r="H569" s="3">
        <f>((28/4000)*2500)*((0.993)^28)</f>
        <v>14.375302970851521</v>
      </c>
      <c r="I569" s="9">
        <v>4.9120000000000006E-3</v>
      </c>
      <c r="J569" s="9">
        <v>7.9119999999999989E-3</v>
      </c>
      <c r="K569" s="9">
        <v>5.44E-4</v>
      </c>
      <c r="L569">
        <v>0.26878100399999999</v>
      </c>
      <c r="M569">
        <v>0.26878100399999999</v>
      </c>
    </row>
    <row r="570" spans="1:13" x14ac:dyDescent="0.3">
      <c r="A570" t="s">
        <v>40</v>
      </c>
      <c r="B570" t="s">
        <v>18</v>
      </c>
      <c r="C570" t="s">
        <v>30</v>
      </c>
      <c r="D570" t="s">
        <v>25</v>
      </c>
      <c r="E570">
        <v>2050</v>
      </c>
      <c r="G570" s="3">
        <f>G569*1.1</f>
        <v>0.29565910440000004</v>
      </c>
      <c r="H570" s="3">
        <f>(0.93*H569)*((0.993)^28)</f>
        <v>10.981936115343345</v>
      </c>
      <c r="I570" s="9">
        <v>4.9120000000000006E-3</v>
      </c>
      <c r="J570" s="9">
        <v>7.9119999999999989E-3</v>
      </c>
      <c r="K570" s="9">
        <v>5.44E-4</v>
      </c>
      <c r="L570">
        <v>0.29565910439999998</v>
      </c>
      <c r="M570">
        <v>0.29565910439999998</v>
      </c>
    </row>
    <row r="571" spans="1:13" x14ac:dyDescent="0.3">
      <c r="A571" t="s">
        <v>40</v>
      </c>
      <c r="B571" t="s">
        <v>18</v>
      </c>
      <c r="C571" t="s">
        <v>30</v>
      </c>
      <c r="D571" t="s">
        <v>26</v>
      </c>
      <c r="E571">
        <v>2050</v>
      </c>
      <c r="G571" s="3">
        <f>G570*1.07</f>
        <v>0.31635524170800006</v>
      </c>
      <c r="H571" s="3">
        <f>(H569*0.7)*((0.993)^28)</f>
        <v>8.2659734201509032</v>
      </c>
      <c r="I571" s="9">
        <v>4.9120000000000006E-3</v>
      </c>
      <c r="J571" s="9">
        <v>7.9119999999999989E-3</v>
      </c>
      <c r="K571" s="9">
        <v>5.44E-4</v>
      </c>
      <c r="L571">
        <v>0.31635524170000001</v>
      </c>
      <c r="M571">
        <v>0.31635524170000001</v>
      </c>
    </row>
    <row r="572" spans="1:13" x14ac:dyDescent="0.3">
      <c r="A572" t="s">
        <v>40</v>
      </c>
      <c r="B572" t="s">
        <v>18</v>
      </c>
      <c r="C572" t="s">
        <v>30</v>
      </c>
      <c r="D572" t="s">
        <v>11</v>
      </c>
      <c r="E572">
        <v>2050</v>
      </c>
      <c r="F572">
        <f>100.958/2500</f>
        <v>4.0383200000000001E-2</v>
      </c>
      <c r="G572" s="3">
        <f t="shared" si="17"/>
        <v>0.38889021600000007</v>
      </c>
      <c r="H572" s="3">
        <f>0*((0.993)^28)</f>
        <v>0</v>
      </c>
      <c r="I572" s="9">
        <v>4.9120000000000006E-3</v>
      </c>
      <c r="J572" s="9">
        <v>7.9119999999999989E-3</v>
      </c>
      <c r="K572" s="9">
        <v>5.44E-4</v>
      </c>
      <c r="L572">
        <v>0.48611277000000003</v>
      </c>
      <c r="M572">
        <v>0.29166766199999999</v>
      </c>
    </row>
    <row r="573" spans="1:13" x14ac:dyDescent="0.3">
      <c r="A573" t="s">
        <v>40</v>
      </c>
      <c r="B573" t="s">
        <v>18</v>
      </c>
      <c r="C573" t="s">
        <v>30</v>
      </c>
      <c r="D573" t="s">
        <v>27</v>
      </c>
      <c r="E573">
        <v>2050</v>
      </c>
      <c r="F573">
        <f>98.43/2500</f>
        <v>3.9372000000000004E-2</v>
      </c>
      <c r="G573" s="3">
        <f t="shared" si="17"/>
        <v>0.37915236000000008</v>
      </c>
      <c r="H573" s="3">
        <f>0*((0.993)^28)</f>
        <v>0</v>
      </c>
      <c r="I573" s="9">
        <v>4.9120000000000006E-3</v>
      </c>
      <c r="J573" s="9">
        <v>7.9119999999999989E-3</v>
      </c>
      <c r="K573" s="9">
        <v>5.44E-4</v>
      </c>
      <c r="L573">
        <v>0.47394045000000001</v>
      </c>
      <c r="M573">
        <v>0.28436426999999997</v>
      </c>
    </row>
    <row r="574" spans="1:13" x14ac:dyDescent="0.3">
      <c r="A574" t="s">
        <v>40</v>
      </c>
      <c r="B574" t="s">
        <v>18</v>
      </c>
      <c r="C574" t="s">
        <v>30</v>
      </c>
      <c r="D574" t="s">
        <v>28</v>
      </c>
      <c r="E574">
        <v>2050</v>
      </c>
      <c r="G574" s="3">
        <f>G570*1.28</f>
        <v>0.37844365363200005</v>
      </c>
      <c r="H574" s="3">
        <f>(0.9*H569)*((0.993)^28)</f>
        <v>10.62768011162259</v>
      </c>
      <c r="I574" s="9">
        <v>4.9120000000000006E-3</v>
      </c>
      <c r="J574" s="9">
        <v>7.9119999999999989E-3</v>
      </c>
      <c r="K574" s="9">
        <v>5.44E-4</v>
      </c>
      <c r="L574">
        <v>0.47305456699999998</v>
      </c>
      <c r="M574">
        <v>0.28383274019999999</v>
      </c>
    </row>
    <row r="575" spans="1:13" x14ac:dyDescent="0.3">
      <c r="A575" t="s">
        <v>40</v>
      </c>
      <c r="B575" t="s">
        <v>18</v>
      </c>
      <c r="C575" t="s">
        <v>30</v>
      </c>
      <c r="D575" t="s">
        <v>13</v>
      </c>
      <c r="E575">
        <v>2050</v>
      </c>
      <c r="G575" s="3">
        <f>G574*1.05</f>
        <v>0.39736583631360006</v>
      </c>
      <c r="H575" s="3">
        <f>(H569*0.24)*((0.993)^28)</f>
        <v>2.8340480297660235</v>
      </c>
      <c r="I575" s="9">
        <v>4.9120000000000006E-3</v>
      </c>
      <c r="J575" s="9">
        <v>7.9119999999999989E-3</v>
      </c>
      <c r="K575" s="9">
        <v>5.44E-4</v>
      </c>
      <c r="L575">
        <v>0.49670729540000003</v>
      </c>
      <c r="M575">
        <v>0.29802437720000002</v>
      </c>
    </row>
    <row r="576" spans="1:13" x14ac:dyDescent="0.3">
      <c r="A576" t="s">
        <v>40</v>
      </c>
      <c r="B576" t="s">
        <v>20</v>
      </c>
      <c r="C576" t="s">
        <v>30</v>
      </c>
      <c r="D576" t="s">
        <v>44</v>
      </c>
      <c r="E576">
        <v>2050</v>
      </c>
      <c r="F576">
        <f>69.777/2500</f>
        <v>2.7910799999999999E-2</v>
      </c>
      <c r="G576" s="3">
        <f>F576*$Q$2</f>
        <v>0.26878100399999999</v>
      </c>
      <c r="H576" s="3">
        <f>((28/4000)*2500)*((0.993)^28)</f>
        <v>14.375302970851521</v>
      </c>
      <c r="I576" s="9">
        <v>4.9120000000000006E-3</v>
      </c>
      <c r="J576" s="9">
        <v>7.9119999999999989E-3</v>
      </c>
      <c r="K576" s="9">
        <v>5.44E-4</v>
      </c>
      <c r="L576">
        <v>0.26878100399999999</v>
      </c>
      <c r="M576">
        <v>0.26878100399999999</v>
      </c>
    </row>
    <row r="577" spans="1:13" x14ac:dyDescent="0.3">
      <c r="A577" t="s">
        <v>40</v>
      </c>
      <c r="B577" t="s">
        <v>20</v>
      </c>
      <c r="C577" t="s">
        <v>30</v>
      </c>
      <c r="D577" t="s">
        <v>25</v>
      </c>
      <c r="E577">
        <v>2050</v>
      </c>
      <c r="G577" s="3">
        <f>G576*1.1</f>
        <v>0.29565910440000004</v>
      </c>
      <c r="H577" s="3">
        <f>(0.93*H576)*((0.993)^28)</f>
        <v>10.981936115343345</v>
      </c>
      <c r="I577" s="9">
        <v>4.9120000000000006E-3</v>
      </c>
      <c r="J577" s="9">
        <v>7.9119999999999989E-3</v>
      </c>
      <c r="K577" s="9">
        <v>5.44E-4</v>
      </c>
      <c r="L577">
        <v>0.29565910439999998</v>
      </c>
      <c r="M577">
        <v>0.29565910439999998</v>
      </c>
    </row>
    <row r="578" spans="1:13" x14ac:dyDescent="0.3">
      <c r="A578" t="s">
        <v>40</v>
      </c>
      <c r="B578" t="s">
        <v>20</v>
      </c>
      <c r="C578" t="s">
        <v>30</v>
      </c>
      <c r="D578" t="s">
        <v>26</v>
      </c>
      <c r="E578">
        <v>2050</v>
      </c>
      <c r="G578" s="3">
        <f>G577*1.07</f>
        <v>0.31635524170800006</v>
      </c>
      <c r="H578" s="3">
        <f>(H576*0.7)*((0.993)^28)</f>
        <v>8.2659734201509032</v>
      </c>
      <c r="I578" s="9">
        <v>4.9120000000000006E-3</v>
      </c>
      <c r="J578" s="9">
        <v>7.9119999999999989E-3</v>
      </c>
      <c r="K578" s="9">
        <v>5.44E-4</v>
      </c>
      <c r="L578">
        <v>0.31635524170000001</v>
      </c>
      <c r="M578">
        <v>0.31635524170000001</v>
      </c>
    </row>
    <row r="579" spans="1:13" x14ac:dyDescent="0.3">
      <c r="A579" t="s">
        <v>40</v>
      </c>
      <c r="B579" t="s">
        <v>20</v>
      </c>
      <c r="C579" t="s">
        <v>30</v>
      </c>
      <c r="D579" t="s">
        <v>11</v>
      </c>
      <c r="E579">
        <v>2050</v>
      </c>
      <c r="F579">
        <f>100.958/2500</f>
        <v>4.0383200000000001E-2</v>
      </c>
      <c r="G579" s="3">
        <f t="shared" si="17"/>
        <v>0.38889021600000007</v>
      </c>
      <c r="H579" s="3">
        <f>0*((0.993)^28)</f>
        <v>0</v>
      </c>
      <c r="I579" s="9">
        <v>4.9120000000000006E-3</v>
      </c>
      <c r="J579" s="9">
        <v>7.9119999999999989E-3</v>
      </c>
      <c r="K579" s="9">
        <v>5.44E-4</v>
      </c>
      <c r="L579">
        <v>0.48611277000000003</v>
      </c>
      <c r="M579">
        <v>0.29166766199999999</v>
      </c>
    </row>
    <row r="580" spans="1:13" x14ac:dyDescent="0.3">
      <c r="A580" t="s">
        <v>40</v>
      </c>
      <c r="B580" t="s">
        <v>20</v>
      </c>
      <c r="C580" t="s">
        <v>30</v>
      </c>
      <c r="D580" t="s">
        <v>27</v>
      </c>
      <c r="E580">
        <v>2050</v>
      </c>
      <c r="F580">
        <f>98.43/2500</f>
        <v>3.9372000000000004E-2</v>
      </c>
      <c r="G580" s="3">
        <f t="shared" si="17"/>
        <v>0.37915236000000008</v>
      </c>
      <c r="H580" s="3">
        <f>0*((0.993)^28)</f>
        <v>0</v>
      </c>
      <c r="I580" s="9">
        <v>4.9120000000000006E-3</v>
      </c>
      <c r="J580" s="9">
        <v>7.9119999999999989E-3</v>
      </c>
      <c r="K580" s="9">
        <v>5.44E-4</v>
      </c>
      <c r="L580">
        <v>0.47394045000000001</v>
      </c>
      <c r="M580">
        <v>0.28436426999999997</v>
      </c>
    </row>
    <row r="581" spans="1:13" x14ac:dyDescent="0.3">
      <c r="A581" t="s">
        <v>40</v>
      </c>
      <c r="B581" t="s">
        <v>20</v>
      </c>
      <c r="C581" t="s">
        <v>30</v>
      </c>
      <c r="D581" t="s">
        <v>28</v>
      </c>
      <c r="E581">
        <v>2050</v>
      </c>
      <c r="G581" s="3">
        <f>G577*1.28</f>
        <v>0.37844365363200005</v>
      </c>
      <c r="H581" s="3">
        <f>(0.9*H576)*((0.993)^28)</f>
        <v>10.62768011162259</v>
      </c>
      <c r="I581" s="9">
        <v>4.9120000000000006E-3</v>
      </c>
      <c r="J581" s="9">
        <v>7.9119999999999989E-3</v>
      </c>
      <c r="K581" s="9">
        <v>5.44E-4</v>
      </c>
      <c r="L581">
        <v>0.47305456699999998</v>
      </c>
      <c r="M581">
        <v>0.28383274019999999</v>
      </c>
    </row>
    <row r="582" spans="1:13" x14ac:dyDescent="0.3">
      <c r="A582" t="s">
        <v>40</v>
      </c>
      <c r="B582" t="s">
        <v>20</v>
      </c>
      <c r="C582" t="s">
        <v>30</v>
      </c>
      <c r="D582" t="s">
        <v>13</v>
      </c>
      <c r="E582">
        <v>2050</v>
      </c>
      <c r="G582" s="3">
        <f>G581*1.05</f>
        <v>0.39736583631360006</v>
      </c>
      <c r="H582" s="3">
        <f>(H576*0.24)*((0.993)^28)</f>
        <v>2.8340480297660235</v>
      </c>
      <c r="I582" s="9">
        <v>4.9120000000000006E-3</v>
      </c>
      <c r="J582" s="9">
        <v>7.9119999999999989E-3</v>
      </c>
      <c r="K582" s="9">
        <v>5.44E-4</v>
      </c>
      <c r="L582">
        <v>0.49670729540000003</v>
      </c>
      <c r="M582">
        <v>0.29802437720000002</v>
      </c>
    </row>
    <row r="583" spans="1:13" x14ac:dyDescent="0.3">
      <c r="A583" t="s">
        <v>40</v>
      </c>
      <c r="B583" t="s">
        <v>22</v>
      </c>
      <c r="C583" t="s">
        <v>31</v>
      </c>
      <c r="D583" t="s">
        <v>44</v>
      </c>
      <c r="E583">
        <v>2050</v>
      </c>
      <c r="F583">
        <f>69.777/17000</f>
        <v>4.1045294117647057E-3</v>
      </c>
      <c r="G583" s="3">
        <f t="shared" si="17"/>
        <v>3.9526618235294117E-2</v>
      </c>
      <c r="H583" s="3">
        <f>((12/15000)*17000)*((0.993)^28)</f>
        <v>11.171664023061755</v>
      </c>
      <c r="I583" s="9">
        <v>4.9120000000000006E-3</v>
      </c>
      <c r="J583" s="9">
        <v>7.9119999999999989E-3</v>
      </c>
      <c r="K583" s="9">
        <v>5.44E-4</v>
      </c>
      <c r="L583">
        <v>3.9526618239999999E-2</v>
      </c>
      <c r="M583">
        <v>3.9526618239999999E-2</v>
      </c>
    </row>
    <row r="584" spans="1:13" x14ac:dyDescent="0.3">
      <c r="A584" t="s">
        <v>40</v>
      </c>
      <c r="B584" t="s">
        <v>22</v>
      </c>
      <c r="C584" t="s">
        <v>31</v>
      </c>
      <c r="D584" t="s">
        <v>25</v>
      </c>
      <c r="E584">
        <v>2050</v>
      </c>
      <c r="G584" s="3">
        <f>G583*1.1</f>
        <v>4.3479280058823531E-2</v>
      </c>
      <c r="H584" s="3">
        <f>(0.93*H583)*((0.993)^28)</f>
        <v>8.5345332096382567</v>
      </c>
      <c r="I584" s="9">
        <v>4.9120000000000006E-3</v>
      </c>
      <c r="J584" s="9">
        <v>7.9119999999999989E-3</v>
      </c>
      <c r="K584" s="9">
        <v>5.44E-4</v>
      </c>
      <c r="L584">
        <v>4.347928006E-2</v>
      </c>
      <c r="M584">
        <v>4.347928006E-2</v>
      </c>
    </row>
    <row r="585" spans="1:13" x14ac:dyDescent="0.3">
      <c r="A585" t="s">
        <v>40</v>
      </c>
      <c r="B585" t="s">
        <v>22</v>
      </c>
      <c r="C585" t="s">
        <v>31</v>
      </c>
      <c r="D585" t="s">
        <v>26</v>
      </c>
      <c r="E585">
        <v>2050</v>
      </c>
      <c r="G585" s="3">
        <f>G584*1.07</f>
        <v>4.6522829662941183E-2</v>
      </c>
      <c r="H585" s="3">
        <f>(H583*0.7)*((0.993)^28)</f>
        <v>6.4238422008029881</v>
      </c>
      <c r="I585" s="9">
        <v>4.9120000000000006E-3</v>
      </c>
      <c r="J585" s="9">
        <v>7.9119999999999989E-3</v>
      </c>
      <c r="K585" s="9">
        <v>5.44E-4</v>
      </c>
      <c r="L585">
        <v>4.6522829660000001E-2</v>
      </c>
      <c r="M585">
        <v>4.6522829660000001E-2</v>
      </c>
    </row>
    <row r="586" spans="1:13" x14ac:dyDescent="0.3">
      <c r="A586" t="s">
        <v>40</v>
      </c>
      <c r="B586" t="s">
        <v>22</v>
      </c>
      <c r="C586" t="s">
        <v>31</v>
      </c>
      <c r="D586" t="s">
        <v>11</v>
      </c>
      <c r="E586">
        <v>2050</v>
      </c>
      <c r="F586">
        <f>100.958/17000</f>
        <v>5.9387058823529414E-3</v>
      </c>
      <c r="G586" s="3">
        <f t="shared" si="17"/>
        <v>5.7189737647058828E-2</v>
      </c>
      <c r="H586" s="3">
        <f>0*((0.993)^28)</f>
        <v>0</v>
      </c>
      <c r="I586" s="9">
        <v>4.9120000000000006E-3</v>
      </c>
      <c r="J586" s="9">
        <v>7.9119999999999989E-3</v>
      </c>
      <c r="K586" s="9">
        <v>5.44E-4</v>
      </c>
      <c r="L586">
        <v>7.1487172060000007E-2</v>
      </c>
      <c r="M586">
        <v>4.2892303239999999E-2</v>
      </c>
    </row>
    <row r="587" spans="1:13" x14ac:dyDescent="0.3">
      <c r="A587" t="s">
        <v>40</v>
      </c>
      <c r="B587" t="s">
        <v>22</v>
      </c>
      <c r="C587" t="s">
        <v>31</v>
      </c>
      <c r="D587" t="s">
        <v>27</v>
      </c>
      <c r="E587">
        <v>2050</v>
      </c>
      <c r="F587">
        <f>98.43/17000</f>
        <v>5.79E-3</v>
      </c>
      <c r="G587" s="3">
        <f t="shared" si="17"/>
        <v>5.5757700000000007E-2</v>
      </c>
      <c r="H587" s="3">
        <f>0*((0.993)^28)</f>
        <v>0</v>
      </c>
      <c r="I587" s="9">
        <v>4.9120000000000006E-3</v>
      </c>
      <c r="J587" s="9">
        <v>7.9119999999999989E-3</v>
      </c>
      <c r="K587" s="9">
        <v>5.44E-4</v>
      </c>
      <c r="L587">
        <v>6.9697124999999999E-2</v>
      </c>
      <c r="M587">
        <v>4.1818275000000002E-2</v>
      </c>
    </row>
    <row r="588" spans="1:13" x14ac:dyDescent="0.3">
      <c r="A588" t="s">
        <v>40</v>
      </c>
      <c r="B588" t="s">
        <v>22</v>
      </c>
      <c r="C588" t="s">
        <v>31</v>
      </c>
      <c r="D588" t="s">
        <v>28</v>
      </c>
      <c r="E588">
        <v>2050</v>
      </c>
      <c r="G588" s="3">
        <f>G584*1.28</f>
        <v>5.5653478475294123E-2</v>
      </c>
      <c r="H588" s="3">
        <f>(0.9*H583)*((0.993)^28)</f>
        <v>8.2592256867466993</v>
      </c>
      <c r="I588" s="9">
        <v>4.9120000000000006E-3</v>
      </c>
      <c r="J588" s="9">
        <v>7.9119999999999989E-3</v>
      </c>
      <c r="K588" s="9">
        <v>5.44E-4</v>
      </c>
      <c r="L588">
        <v>6.9566848089999994E-2</v>
      </c>
      <c r="M588">
        <v>4.174010886E-2</v>
      </c>
    </row>
    <row r="589" spans="1:13" x14ac:dyDescent="0.3">
      <c r="A589" t="s">
        <v>40</v>
      </c>
      <c r="B589" t="s">
        <v>22</v>
      </c>
      <c r="C589" t="s">
        <v>31</v>
      </c>
      <c r="D589" t="s">
        <v>13</v>
      </c>
      <c r="E589">
        <v>2050</v>
      </c>
      <c r="G589" s="3">
        <f>G588*1.05</f>
        <v>5.8436152399058833E-2</v>
      </c>
      <c r="H589" s="3">
        <f>(H583*0.24)*((0.993)^28)</f>
        <v>2.2024601831324531</v>
      </c>
      <c r="I589" s="9">
        <v>4.9120000000000006E-3</v>
      </c>
      <c r="J589" s="9">
        <v>7.9119999999999989E-3</v>
      </c>
      <c r="K589" s="9">
        <v>5.44E-4</v>
      </c>
      <c r="L589">
        <v>7.3045190499999996E-2</v>
      </c>
      <c r="M589">
        <v>4.3827114299999997E-2</v>
      </c>
    </row>
    <row r="590" spans="1:13" x14ac:dyDescent="0.3">
      <c r="A590" t="s">
        <v>32</v>
      </c>
      <c r="B590" t="s">
        <v>7</v>
      </c>
      <c r="C590" t="s">
        <v>33</v>
      </c>
      <c r="D590" t="s">
        <v>9</v>
      </c>
      <c r="E590">
        <v>2050</v>
      </c>
      <c r="F590">
        <f>F591*1.2</f>
        <v>1.44E-2</v>
      </c>
      <c r="G590" s="4">
        <f t="shared" si="17"/>
        <v>0.13867200000000002</v>
      </c>
      <c r="H590" s="4">
        <f>18.8*((0.993)^28)</f>
        <v>15.443182620114777</v>
      </c>
      <c r="I590" s="10">
        <v>4.9120000000000006E-3</v>
      </c>
      <c r="J590" s="10">
        <v>7.9119999999999989E-3</v>
      </c>
      <c r="K590" s="10">
        <v>5.44E-4</v>
      </c>
      <c r="L590">
        <v>0.13867199999999999</v>
      </c>
      <c r="M590">
        <v>0.13867199999999999</v>
      </c>
    </row>
    <row r="591" spans="1:13" x14ac:dyDescent="0.3">
      <c r="A591" t="s">
        <v>32</v>
      </c>
      <c r="B591" t="s">
        <v>7</v>
      </c>
      <c r="C591" t="s">
        <v>33</v>
      </c>
      <c r="D591" t="s">
        <v>34</v>
      </c>
      <c r="E591">
        <v>2050</v>
      </c>
      <c r="F591">
        <v>1.2E-2</v>
      </c>
      <c r="G591" s="4">
        <f t="shared" si="17"/>
        <v>0.11556000000000001</v>
      </c>
      <c r="H591" s="4">
        <f>0*((0.993)^28)</f>
        <v>0</v>
      </c>
      <c r="I591" s="10">
        <v>4.9120000000000006E-3</v>
      </c>
      <c r="J591" s="10">
        <v>7.9119999999999989E-3</v>
      </c>
      <c r="K591" s="10">
        <v>5.44E-4</v>
      </c>
      <c r="L591">
        <v>0.11556</v>
      </c>
      <c r="M591">
        <v>0.11556</v>
      </c>
    </row>
    <row r="592" spans="1:13" x14ac:dyDescent="0.3">
      <c r="A592" t="s">
        <v>32</v>
      </c>
      <c r="B592" t="s">
        <v>7</v>
      </c>
      <c r="C592" t="s">
        <v>33</v>
      </c>
      <c r="D592" t="s">
        <v>35</v>
      </c>
      <c r="E592">
        <v>2050</v>
      </c>
      <c r="F592">
        <f>F590*1.1</f>
        <v>1.584E-2</v>
      </c>
      <c r="G592" s="4">
        <f t="shared" si="17"/>
        <v>0.15253920000000001</v>
      </c>
      <c r="H592" s="4">
        <f>(H590*0.7)*((0.993)^28)</f>
        <v>8.8800171599335407</v>
      </c>
      <c r="I592" s="10">
        <v>4.9120000000000006E-3</v>
      </c>
      <c r="J592" s="10">
        <v>7.9119999999999989E-3</v>
      </c>
      <c r="K592" s="10">
        <v>5.44E-4</v>
      </c>
      <c r="L592">
        <v>0.19067400000000001</v>
      </c>
      <c r="M592">
        <v>0.1144044</v>
      </c>
    </row>
    <row r="593" spans="1:13" x14ac:dyDescent="0.3">
      <c r="A593" t="s">
        <v>32</v>
      </c>
      <c r="B593" t="s">
        <v>7</v>
      </c>
      <c r="C593" t="s">
        <v>33</v>
      </c>
      <c r="D593" t="s">
        <v>36</v>
      </c>
      <c r="E593">
        <v>2050</v>
      </c>
      <c r="F593">
        <f>F590*1.1</f>
        <v>1.584E-2</v>
      </c>
      <c r="G593" s="4">
        <f t="shared" si="17"/>
        <v>0.15253920000000001</v>
      </c>
      <c r="H593" s="4">
        <f>0*((0.993)^28)</f>
        <v>0</v>
      </c>
      <c r="I593" s="10">
        <v>4.9120000000000006E-3</v>
      </c>
      <c r="J593" s="10">
        <v>7.9119999999999989E-3</v>
      </c>
      <c r="K593" s="10">
        <v>5.44E-4</v>
      </c>
      <c r="L593">
        <v>0.19067400000000001</v>
      </c>
      <c r="M593">
        <v>0.1144044</v>
      </c>
    </row>
    <row r="594" spans="1:13" x14ac:dyDescent="0.3">
      <c r="A594" t="s">
        <v>32</v>
      </c>
      <c r="B594" t="s">
        <v>7</v>
      </c>
      <c r="C594" t="s">
        <v>33</v>
      </c>
      <c r="D594" t="s">
        <v>11</v>
      </c>
      <c r="E594">
        <v>2050</v>
      </c>
      <c r="F594">
        <f>F590*1.25</f>
        <v>1.7999999999999999E-2</v>
      </c>
      <c r="G594" s="4">
        <f t="shared" si="17"/>
        <v>0.17333999999999999</v>
      </c>
      <c r="H594" s="4">
        <f>0*((0.993)^28)</f>
        <v>0</v>
      </c>
      <c r="I594" s="10">
        <v>4.9120000000000006E-3</v>
      </c>
      <c r="J594" s="10">
        <v>7.9119999999999989E-3</v>
      </c>
      <c r="K594" s="10">
        <v>5.44E-4</v>
      </c>
      <c r="L594">
        <v>0.21667500000000001</v>
      </c>
      <c r="M594">
        <v>0.13000500000000001</v>
      </c>
    </row>
    <row r="595" spans="1:13" x14ac:dyDescent="0.3">
      <c r="A595" t="s">
        <v>32</v>
      </c>
      <c r="B595" t="s">
        <v>7</v>
      </c>
      <c r="C595" t="s">
        <v>33</v>
      </c>
      <c r="D595" t="s">
        <v>12</v>
      </c>
      <c r="E595">
        <v>2050</v>
      </c>
      <c r="F595">
        <f>F590*1.09</f>
        <v>1.5696000000000002E-2</v>
      </c>
      <c r="G595" s="4">
        <f t="shared" si="17"/>
        <v>0.15115248000000003</v>
      </c>
      <c r="H595" s="4">
        <f>(H590*0.2)*((0.993)^28)</f>
        <v>2.5371477599810124</v>
      </c>
      <c r="I595" s="10">
        <v>4.9120000000000006E-3</v>
      </c>
      <c r="J595" s="10">
        <v>7.9119999999999989E-3</v>
      </c>
      <c r="K595" s="10">
        <v>5.44E-4</v>
      </c>
      <c r="L595">
        <v>0.18894059999999999</v>
      </c>
      <c r="M595">
        <v>0.11336436</v>
      </c>
    </row>
    <row r="596" spans="1:13" x14ac:dyDescent="0.3">
      <c r="A596" t="s">
        <v>32</v>
      </c>
      <c r="B596" t="s">
        <v>14</v>
      </c>
      <c r="C596" t="s">
        <v>37</v>
      </c>
      <c r="D596" t="s">
        <v>9</v>
      </c>
      <c r="E596">
        <v>2050</v>
      </c>
      <c r="F596">
        <f>F597*1.2</f>
        <v>2.0400000000000001E-2</v>
      </c>
      <c r="G596" s="4">
        <f t="shared" si="17"/>
        <v>0.19645200000000004</v>
      </c>
      <c r="H596" s="4">
        <f>17.9*((0.993)^28)</f>
        <v>14.703881324470984</v>
      </c>
      <c r="I596" s="10">
        <v>4.9120000000000006E-3</v>
      </c>
      <c r="J596" s="10">
        <v>7.9119999999999989E-3</v>
      </c>
      <c r="K596" s="10">
        <v>5.44E-4</v>
      </c>
      <c r="L596">
        <v>0.19645199999999999</v>
      </c>
      <c r="M596">
        <v>0.19645199999999999</v>
      </c>
    </row>
    <row r="597" spans="1:13" x14ac:dyDescent="0.3">
      <c r="A597" t="s">
        <v>32</v>
      </c>
      <c r="B597" t="s">
        <v>14</v>
      </c>
      <c r="C597" t="s">
        <v>37</v>
      </c>
      <c r="D597" t="s">
        <v>34</v>
      </c>
      <c r="E597">
        <v>2050</v>
      </c>
      <c r="F597">
        <v>1.7000000000000001E-2</v>
      </c>
      <c r="G597" s="4">
        <f t="shared" si="17"/>
        <v>0.16371000000000002</v>
      </c>
      <c r="H597" s="4">
        <f>0*((0.993)^28)</f>
        <v>0</v>
      </c>
      <c r="I597" s="10">
        <v>4.9120000000000006E-3</v>
      </c>
      <c r="J597" s="10">
        <v>7.9119999999999989E-3</v>
      </c>
      <c r="K597" s="10">
        <v>5.44E-4</v>
      </c>
      <c r="L597">
        <v>0.16370999999999999</v>
      </c>
      <c r="M597">
        <v>0.16370999999999999</v>
      </c>
    </row>
    <row r="598" spans="1:13" x14ac:dyDescent="0.3">
      <c r="A598" t="s">
        <v>32</v>
      </c>
      <c r="B598" t="s">
        <v>14</v>
      </c>
      <c r="C598" t="s">
        <v>37</v>
      </c>
      <c r="D598" t="s">
        <v>35</v>
      </c>
      <c r="E598">
        <v>2050</v>
      </c>
      <c r="F598">
        <f>F596*1.1</f>
        <v>2.2440000000000005E-2</v>
      </c>
      <c r="G598" s="4">
        <f t="shared" si="17"/>
        <v>0.21609720000000007</v>
      </c>
      <c r="H598" s="4">
        <f>(H596*0.7)*((0.993)^28)</f>
        <v>8.4549099554686382</v>
      </c>
      <c r="I598" s="10">
        <v>4.9120000000000006E-3</v>
      </c>
      <c r="J598" s="10">
        <v>7.9119999999999989E-3</v>
      </c>
      <c r="K598" s="10">
        <v>5.44E-4</v>
      </c>
      <c r="L598">
        <v>0.27012150000000001</v>
      </c>
      <c r="M598">
        <v>0.16207289999999999</v>
      </c>
    </row>
    <row r="599" spans="1:13" x14ac:dyDescent="0.3">
      <c r="A599" t="s">
        <v>32</v>
      </c>
      <c r="B599" t="s">
        <v>14</v>
      </c>
      <c r="C599" t="s">
        <v>37</v>
      </c>
      <c r="D599" t="s">
        <v>36</v>
      </c>
      <c r="E599">
        <v>2050</v>
      </c>
      <c r="F599">
        <f>F596*1.1</f>
        <v>2.2440000000000005E-2</v>
      </c>
      <c r="G599" s="4">
        <f t="shared" si="17"/>
        <v>0.21609720000000007</v>
      </c>
      <c r="H599" s="4">
        <f>0*((0.993)^28)</f>
        <v>0</v>
      </c>
      <c r="I599" s="10">
        <v>4.9120000000000006E-3</v>
      </c>
      <c r="J599" s="10">
        <v>7.9119999999999989E-3</v>
      </c>
      <c r="K599" s="10">
        <v>5.44E-4</v>
      </c>
      <c r="L599">
        <v>0.27012150000000001</v>
      </c>
      <c r="M599">
        <v>0.16207289999999999</v>
      </c>
    </row>
    <row r="600" spans="1:13" x14ac:dyDescent="0.3">
      <c r="A600" t="s">
        <v>32</v>
      </c>
      <c r="B600" t="s">
        <v>14</v>
      </c>
      <c r="C600" t="s">
        <v>37</v>
      </c>
      <c r="D600" t="s">
        <v>11</v>
      </c>
      <c r="E600">
        <v>2050</v>
      </c>
      <c r="F600">
        <f>F596*1.25</f>
        <v>2.5500000000000002E-2</v>
      </c>
      <c r="G600" s="4">
        <f t="shared" si="17"/>
        <v>0.24556500000000003</v>
      </c>
      <c r="H600" s="4">
        <f>0*((0.993)^28)</f>
        <v>0</v>
      </c>
      <c r="I600" s="10">
        <v>4.9120000000000006E-3</v>
      </c>
      <c r="J600" s="10">
        <v>7.9119999999999989E-3</v>
      </c>
      <c r="K600" s="10">
        <v>5.44E-4</v>
      </c>
      <c r="L600">
        <v>0.30695624999999999</v>
      </c>
      <c r="M600">
        <v>0.18417375</v>
      </c>
    </row>
    <row r="601" spans="1:13" x14ac:dyDescent="0.3">
      <c r="A601" t="s">
        <v>32</v>
      </c>
      <c r="B601" t="s">
        <v>14</v>
      </c>
      <c r="C601" t="s">
        <v>37</v>
      </c>
      <c r="D601" t="s">
        <v>12</v>
      </c>
      <c r="E601">
        <v>2050</v>
      </c>
      <c r="F601">
        <f>F596*1.09</f>
        <v>2.2236000000000002E-2</v>
      </c>
      <c r="G601" s="4">
        <f t="shared" si="17"/>
        <v>0.21413268000000005</v>
      </c>
      <c r="H601" s="4">
        <f>(H596*0.2)*((0.993)^28)</f>
        <v>2.415688558705325</v>
      </c>
      <c r="I601" s="10">
        <v>4.9120000000000006E-3</v>
      </c>
      <c r="J601" s="10">
        <v>7.9119999999999989E-3</v>
      </c>
      <c r="K601" s="10">
        <v>5.44E-4</v>
      </c>
      <c r="L601">
        <v>0.26766584999999998</v>
      </c>
      <c r="M601">
        <v>0.16059951</v>
      </c>
    </row>
    <row r="602" spans="1:13" x14ac:dyDescent="0.3">
      <c r="A602" t="s">
        <v>32</v>
      </c>
      <c r="B602" t="s">
        <v>16</v>
      </c>
      <c r="C602" t="s">
        <v>37</v>
      </c>
      <c r="D602" t="s">
        <v>9</v>
      </c>
      <c r="E602">
        <v>2050</v>
      </c>
      <c r="F602">
        <f>F603*1.2</f>
        <v>2.0400000000000001E-2</v>
      </c>
      <c r="G602" s="4">
        <f t="shared" si="17"/>
        <v>0.19645200000000004</v>
      </c>
      <c r="H602" s="4">
        <f>17.9*((0.993)^28)</f>
        <v>14.703881324470984</v>
      </c>
      <c r="I602" s="10">
        <v>4.9120000000000006E-3</v>
      </c>
      <c r="J602" s="10">
        <v>7.9119999999999989E-3</v>
      </c>
      <c r="K602" s="10">
        <v>5.44E-4</v>
      </c>
      <c r="L602">
        <v>0.19645199999999999</v>
      </c>
      <c r="M602">
        <v>0.19645199999999999</v>
      </c>
    </row>
    <row r="603" spans="1:13" x14ac:dyDescent="0.3">
      <c r="A603" t="s">
        <v>32</v>
      </c>
      <c r="B603" t="s">
        <v>16</v>
      </c>
      <c r="C603" t="s">
        <v>37</v>
      </c>
      <c r="D603" t="s">
        <v>34</v>
      </c>
      <c r="E603">
        <v>2050</v>
      </c>
      <c r="F603">
        <v>1.7000000000000001E-2</v>
      </c>
      <c r="G603" s="4">
        <f t="shared" si="17"/>
        <v>0.16371000000000002</v>
      </c>
      <c r="H603" s="4">
        <f>0*((0.993)^28)</f>
        <v>0</v>
      </c>
      <c r="I603" s="10">
        <v>4.9120000000000006E-3</v>
      </c>
      <c r="J603" s="10">
        <v>7.9119999999999989E-3</v>
      </c>
      <c r="K603" s="10">
        <v>5.44E-4</v>
      </c>
      <c r="L603">
        <v>0.16370999999999999</v>
      </c>
      <c r="M603">
        <v>0.16370999999999999</v>
      </c>
    </row>
    <row r="604" spans="1:13" x14ac:dyDescent="0.3">
      <c r="A604" t="s">
        <v>32</v>
      </c>
      <c r="B604" t="s">
        <v>16</v>
      </c>
      <c r="C604" t="s">
        <v>37</v>
      </c>
      <c r="D604" t="s">
        <v>35</v>
      </c>
      <c r="E604">
        <v>2050</v>
      </c>
      <c r="F604">
        <f>F602*1.1</f>
        <v>2.2440000000000005E-2</v>
      </c>
      <c r="G604" s="4">
        <f t="shared" si="17"/>
        <v>0.21609720000000007</v>
      </c>
      <c r="H604" s="4">
        <f>(H602*0.7)*((0.993)^28)</f>
        <v>8.4549099554686382</v>
      </c>
      <c r="I604" s="10">
        <v>4.9120000000000006E-3</v>
      </c>
      <c r="J604" s="10">
        <v>7.9119999999999989E-3</v>
      </c>
      <c r="K604" s="10">
        <v>5.44E-4</v>
      </c>
      <c r="L604">
        <v>0.27012150000000001</v>
      </c>
      <c r="M604">
        <v>0.16207289999999999</v>
      </c>
    </row>
    <row r="605" spans="1:13" x14ac:dyDescent="0.3">
      <c r="A605" t="s">
        <v>32</v>
      </c>
      <c r="B605" t="s">
        <v>16</v>
      </c>
      <c r="C605" t="s">
        <v>37</v>
      </c>
      <c r="D605" t="s">
        <v>36</v>
      </c>
      <c r="E605">
        <v>2050</v>
      </c>
      <c r="F605">
        <f>F602*1.1</f>
        <v>2.2440000000000005E-2</v>
      </c>
      <c r="G605" s="4">
        <f t="shared" si="17"/>
        <v>0.21609720000000007</v>
      </c>
      <c r="H605" s="4">
        <f>0*((0.993)^28)</f>
        <v>0</v>
      </c>
      <c r="I605" s="10">
        <v>4.9120000000000006E-3</v>
      </c>
      <c r="J605" s="10">
        <v>7.9119999999999989E-3</v>
      </c>
      <c r="K605" s="10">
        <v>5.44E-4</v>
      </c>
      <c r="L605">
        <v>0.27012150000000001</v>
      </c>
      <c r="M605">
        <v>0.16207289999999999</v>
      </c>
    </row>
    <row r="606" spans="1:13" x14ac:dyDescent="0.3">
      <c r="A606" t="s">
        <v>32</v>
      </c>
      <c r="B606" t="s">
        <v>16</v>
      </c>
      <c r="C606" t="s">
        <v>37</v>
      </c>
      <c r="D606" t="s">
        <v>11</v>
      </c>
      <c r="E606">
        <v>2050</v>
      </c>
      <c r="F606">
        <f>F602*1.25</f>
        <v>2.5500000000000002E-2</v>
      </c>
      <c r="G606" s="4">
        <f t="shared" si="17"/>
        <v>0.24556500000000003</v>
      </c>
      <c r="H606" s="4">
        <f>0*((0.993)^28)</f>
        <v>0</v>
      </c>
      <c r="I606" s="10">
        <v>4.9120000000000006E-3</v>
      </c>
      <c r="J606" s="10">
        <v>7.9119999999999989E-3</v>
      </c>
      <c r="K606" s="10">
        <v>5.44E-4</v>
      </c>
      <c r="L606">
        <v>0.30695624999999999</v>
      </c>
      <c r="M606">
        <v>0.18417375</v>
      </c>
    </row>
    <row r="607" spans="1:13" x14ac:dyDescent="0.3">
      <c r="A607" t="s">
        <v>32</v>
      </c>
      <c r="B607" t="s">
        <v>16</v>
      </c>
      <c r="C607" t="s">
        <v>37</v>
      </c>
      <c r="D607" t="s">
        <v>12</v>
      </c>
      <c r="E607">
        <v>2050</v>
      </c>
      <c r="F607">
        <f>F602*1.09</f>
        <v>2.2236000000000002E-2</v>
      </c>
      <c r="G607" s="4">
        <f t="shared" si="17"/>
        <v>0.21413268000000005</v>
      </c>
      <c r="H607" s="4">
        <f>(H602*0.2)*((0.993)^28)</f>
        <v>2.415688558705325</v>
      </c>
      <c r="I607" s="10">
        <v>4.9120000000000006E-3</v>
      </c>
      <c r="J607" s="10">
        <v>7.9119999999999989E-3</v>
      </c>
      <c r="K607" s="10">
        <v>5.44E-4</v>
      </c>
      <c r="L607">
        <v>0.26766584999999998</v>
      </c>
      <c r="M607">
        <v>0.16059951</v>
      </c>
    </row>
    <row r="608" spans="1:13" x14ac:dyDescent="0.3">
      <c r="A608" t="s">
        <v>32</v>
      </c>
      <c r="B608" t="s">
        <v>65</v>
      </c>
      <c r="C608" t="s">
        <v>37</v>
      </c>
      <c r="D608" t="s">
        <v>9</v>
      </c>
      <c r="E608">
        <v>2050</v>
      </c>
      <c r="F608">
        <f>F609*1.2</f>
        <v>2.0400000000000001E-2</v>
      </c>
      <c r="G608" s="4">
        <f t="shared" si="17"/>
        <v>0.19645200000000004</v>
      </c>
      <c r="H608" s="4">
        <f>17.9*((0.993)^28)</f>
        <v>14.703881324470984</v>
      </c>
      <c r="I608" s="10">
        <v>4.9120000000000006E-3</v>
      </c>
      <c r="J608" s="10">
        <v>7.9119999999999989E-3</v>
      </c>
      <c r="K608" s="10">
        <v>5.44E-4</v>
      </c>
      <c r="L608">
        <v>0.19645199999999999</v>
      </c>
      <c r="M608">
        <v>0.19645199999999999</v>
      </c>
    </row>
    <row r="609" spans="1:13" x14ac:dyDescent="0.3">
      <c r="A609" t="s">
        <v>32</v>
      </c>
      <c r="B609" t="s">
        <v>65</v>
      </c>
      <c r="C609" t="s">
        <v>37</v>
      </c>
      <c r="D609" t="s">
        <v>34</v>
      </c>
      <c r="E609">
        <v>2050</v>
      </c>
      <c r="F609">
        <v>1.7000000000000001E-2</v>
      </c>
      <c r="G609" s="4">
        <f t="shared" si="17"/>
        <v>0.16371000000000002</v>
      </c>
      <c r="H609" s="4">
        <f>0*((0.993)^28)</f>
        <v>0</v>
      </c>
      <c r="I609" s="10">
        <v>4.9120000000000006E-3</v>
      </c>
      <c r="J609" s="10">
        <v>7.9119999999999989E-3</v>
      </c>
      <c r="K609" s="10">
        <v>5.44E-4</v>
      </c>
      <c r="L609">
        <v>0.16370999999999999</v>
      </c>
      <c r="M609">
        <v>0.16370999999999999</v>
      </c>
    </row>
    <row r="610" spans="1:13" x14ac:dyDescent="0.3">
      <c r="A610" t="s">
        <v>32</v>
      </c>
      <c r="B610" t="s">
        <v>65</v>
      </c>
      <c r="C610" t="s">
        <v>37</v>
      </c>
      <c r="D610" t="s">
        <v>35</v>
      </c>
      <c r="E610">
        <v>2050</v>
      </c>
      <c r="F610">
        <f>F608*1.1</f>
        <v>2.2440000000000005E-2</v>
      </c>
      <c r="G610" s="4">
        <f t="shared" si="17"/>
        <v>0.21609720000000007</v>
      </c>
      <c r="H610" s="4">
        <f>(H608*0.7)*((0.993)^28)</f>
        <v>8.4549099554686382</v>
      </c>
      <c r="I610" s="10">
        <v>4.9120000000000006E-3</v>
      </c>
      <c r="J610" s="10">
        <v>7.9119999999999989E-3</v>
      </c>
      <c r="K610" s="10">
        <v>5.44E-4</v>
      </c>
      <c r="L610">
        <v>0.27012150000000001</v>
      </c>
      <c r="M610">
        <v>0.16207289999999999</v>
      </c>
    </row>
    <row r="611" spans="1:13" x14ac:dyDescent="0.3">
      <c r="A611" t="s">
        <v>32</v>
      </c>
      <c r="B611" t="s">
        <v>65</v>
      </c>
      <c r="C611" t="s">
        <v>37</v>
      </c>
      <c r="D611" t="s">
        <v>36</v>
      </c>
      <c r="E611">
        <v>2050</v>
      </c>
      <c r="F611">
        <f>F608*1.1</f>
        <v>2.2440000000000005E-2</v>
      </c>
      <c r="G611" s="4">
        <f t="shared" si="17"/>
        <v>0.21609720000000007</v>
      </c>
      <c r="H611" s="4">
        <f>0*((0.993)^28)</f>
        <v>0</v>
      </c>
      <c r="I611" s="10">
        <v>4.9120000000000006E-3</v>
      </c>
      <c r="J611" s="10">
        <v>7.9119999999999989E-3</v>
      </c>
      <c r="K611" s="10">
        <v>5.44E-4</v>
      </c>
      <c r="L611">
        <v>0.27012150000000001</v>
      </c>
      <c r="M611">
        <v>0.16207289999999999</v>
      </c>
    </row>
    <row r="612" spans="1:13" x14ac:dyDescent="0.3">
      <c r="A612" t="s">
        <v>32</v>
      </c>
      <c r="B612" t="s">
        <v>65</v>
      </c>
      <c r="C612" t="s">
        <v>37</v>
      </c>
      <c r="D612" t="s">
        <v>11</v>
      </c>
      <c r="E612">
        <v>2050</v>
      </c>
      <c r="F612">
        <f>F608*1.25</f>
        <v>2.5500000000000002E-2</v>
      </c>
      <c r="G612" s="4">
        <f t="shared" si="17"/>
        <v>0.24556500000000003</v>
      </c>
      <c r="H612" s="4">
        <f>0*((0.993)^28)</f>
        <v>0</v>
      </c>
      <c r="I612" s="10">
        <v>4.9120000000000006E-3</v>
      </c>
      <c r="J612" s="10">
        <v>7.9119999999999989E-3</v>
      </c>
      <c r="K612" s="10">
        <v>5.44E-4</v>
      </c>
      <c r="L612">
        <v>0.30695624999999999</v>
      </c>
      <c r="M612">
        <v>0.18417375</v>
      </c>
    </row>
    <row r="613" spans="1:13" x14ac:dyDescent="0.3">
      <c r="A613" t="s">
        <v>32</v>
      </c>
      <c r="B613" t="s">
        <v>65</v>
      </c>
      <c r="C613" t="s">
        <v>37</v>
      </c>
      <c r="D613" t="s">
        <v>12</v>
      </c>
      <c r="E613">
        <v>2050</v>
      </c>
      <c r="F613">
        <f>F608*1.09</f>
        <v>2.2236000000000002E-2</v>
      </c>
      <c r="G613" s="4">
        <f t="shared" si="17"/>
        <v>0.21413268000000005</v>
      </c>
      <c r="H613" s="4">
        <f>(H608*0.2)*((0.993)^28)</f>
        <v>2.415688558705325</v>
      </c>
      <c r="I613" s="10">
        <v>4.9120000000000006E-3</v>
      </c>
      <c r="J613" s="10">
        <v>7.9119999999999989E-3</v>
      </c>
      <c r="K613" s="10">
        <v>5.44E-4</v>
      </c>
      <c r="L613">
        <v>0.26766584999999998</v>
      </c>
      <c r="M613">
        <v>0.16059951</v>
      </c>
    </row>
    <row r="614" spans="1:13" x14ac:dyDescent="0.3">
      <c r="A614" t="s">
        <v>32</v>
      </c>
      <c r="B614" t="s">
        <v>18</v>
      </c>
      <c r="C614" t="s">
        <v>37</v>
      </c>
      <c r="D614" t="s">
        <v>9</v>
      </c>
      <c r="E614">
        <v>2050</v>
      </c>
      <c r="F614">
        <f>F615*1.2</f>
        <v>2.0400000000000001E-2</v>
      </c>
      <c r="G614" s="4">
        <f t="shared" si="17"/>
        <v>0.19645200000000004</v>
      </c>
      <c r="H614" s="4">
        <f>17.9*((0.993)^28)</f>
        <v>14.703881324470984</v>
      </c>
      <c r="I614" s="10">
        <v>4.9120000000000006E-3</v>
      </c>
      <c r="J614" s="10">
        <v>7.9119999999999989E-3</v>
      </c>
      <c r="K614" s="10">
        <v>5.44E-4</v>
      </c>
      <c r="L614">
        <v>0.19645199999999999</v>
      </c>
      <c r="M614">
        <v>0.19645199999999999</v>
      </c>
    </row>
    <row r="615" spans="1:13" x14ac:dyDescent="0.3">
      <c r="A615" t="s">
        <v>32</v>
      </c>
      <c r="B615" t="s">
        <v>18</v>
      </c>
      <c r="C615" t="s">
        <v>37</v>
      </c>
      <c r="D615" t="s">
        <v>34</v>
      </c>
      <c r="E615">
        <v>2050</v>
      </c>
      <c r="F615">
        <v>1.7000000000000001E-2</v>
      </c>
      <c r="G615" s="4">
        <f t="shared" ref="G615:G631" si="18">F615*$Q$2</f>
        <v>0.16371000000000002</v>
      </c>
      <c r="H615" s="4">
        <f>0*((0.993)^28)</f>
        <v>0</v>
      </c>
      <c r="I615" s="10">
        <v>4.9120000000000006E-3</v>
      </c>
      <c r="J615" s="10">
        <v>7.9119999999999989E-3</v>
      </c>
      <c r="K615" s="10">
        <v>5.44E-4</v>
      </c>
      <c r="L615">
        <v>0.16370999999999999</v>
      </c>
      <c r="M615">
        <v>0.16370999999999999</v>
      </c>
    </row>
    <row r="616" spans="1:13" x14ac:dyDescent="0.3">
      <c r="A616" t="s">
        <v>32</v>
      </c>
      <c r="B616" t="s">
        <v>18</v>
      </c>
      <c r="C616" t="s">
        <v>37</v>
      </c>
      <c r="D616" t="s">
        <v>35</v>
      </c>
      <c r="E616">
        <v>2050</v>
      </c>
      <c r="F616">
        <f>F614*1.1</f>
        <v>2.2440000000000005E-2</v>
      </c>
      <c r="G616" s="4">
        <f t="shared" si="18"/>
        <v>0.21609720000000007</v>
      </c>
      <c r="H616" s="4">
        <f>(H614*0.7)*((0.993)^28)</f>
        <v>8.4549099554686382</v>
      </c>
      <c r="I616" s="10">
        <v>4.9120000000000006E-3</v>
      </c>
      <c r="J616" s="10">
        <v>7.9119999999999989E-3</v>
      </c>
      <c r="K616" s="10">
        <v>5.44E-4</v>
      </c>
      <c r="L616">
        <v>0.27012150000000001</v>
      </c>
      <c r="M616">
        <v>0.16207289999999999</v>
      </c>
    </row>
    <row r="617" spans="1:13" x14ac:dyDescent="0.3">
      <c r="A617" t="s">
        <v>32</v>
      </c>
      <c r="B617" t="s">
        <v>18</v>
      </c>
      <c r="C617" t="s">
        <v>37</v>
      </c>
      <c r="D617" t="s">
        <v>36</v>
      </c>
      <c r="E617">
        <v>2050</v>
      </c>
      <c r="F617">
        <f>F614*1.1</f>
        <v>2.2440000000000005E-2</v>
      </c>
      <c r="G617" s="4">
        <f t="shared" si="18"/>
        <v>0.21609720000000007</v>
      </c>
      <c r="H617" s="4">
        <f>0*((0.993)^28)</f>
        <v>0</v>
      </c>
      <c r="I617" s="10">
        <v>4.9120000000000006E-3</v>
      </c>
      <c r="J617" s="10">
        <v>7.9119999999999989E-3</v>
      </c>
      <c r="K617" s="10">
        <v>5.44E-4</v>
      </c>
      <c r="L617">
        <v>0.27012150000000001</v>
      </c>
      <c r="M617">
        <v>0.16207289999999999</v>
      </c>
    </row>
    <row r="618" spans="1:13" x14ac:dyDescent="0.3">
      <c r="A618" t="s">
        <v>32</v>
      </c>
      <c r="B618" t="s">
        <v>18</v>
      </c>
      <c r="C618" t="s">
        <v>37</v>
      </c>
      <c r="D618" t="s">
        <v>11</v>
      </c>
      <c r="E618">
        <v>2050</v>
      </c>
      <c r="F618">
        <f>F614*1.25</f>
        <v>2.5500000000000002E-2</v>
      </c>
      <c r="G618" s="4">
        <f t="shared" si="18"/>
        <v>0.24556500000000003</v>
      </c>
      <c r="H618" s="4">
        <f>0*((0.993)^28)</f>
        <v>0</v>
      </c>
      <c r="I618" s="10">
        <v>4.9120000000000006E-3</v>
      </c>
      <c r="J618" s="10">
        <v>7.9119999999999989E-3</v>
      </c>
      <c r="K618" s="10">
        <v>5.44E-4</v>
      </c>
      <c r="L618">
        <v>0.30695624999999999</v>
      </c>
      <c r="M618">
        <v>0.18417375</v>
      </c>
    </row>
    <row r="619" spans="1:13" x14ac:dyDescent="0.3">
      <c r="A619" t="s">
        <v>32</v>
      </c>
      <c r="B619" t="s">
        <v>18</v>
      </c>
      <c r="C619" t="s">
        <v>37</v>
      </c>
      <c r="D619" t="s">
        <v>12</v>
      </c>
      <c r="E619">
        <v>2050</v>
      </c>
      <c r="F619">
        <f>F614*1.09</f>
        <v>2.2236000000000002E-2</v>
      </c>
      <c r="G619" s="4">
        <f t="shared" si="18"/>
        <v>0.21413268000000005</v>
      </c>
      <c r="H619" s="4">
        <f>(H614*0.2)*((0.993)^28)</f>
        <v>2.415688558705325</v>
      </c>
      <c r="I619" s="10">
        <v>4.9120000000000006E-3</v>
      </c>
      <c r="J619" s="10">
        <v>7.9119999999999989E-3</v>
      </c>
      <c r="K619" s="10">
        <v>5.44E-4</v>
      </c>
      <c r="L619">
        <v>0.26766584999999998</v>
      </c>
      <c r="M619">
        <v>0.16059951</v>
      </c>
    </row>
    <row r="620" spans="1:13" x14ac:dyDescent="0.3">
      <c r="A620" t="s">
        <v>32</v>
      </c>
      <c r="B620" t="s">
        <v>20</v>
      </c>
      <c r="C620" t="s">
        <v>38</v>
      </c>
      <c r="D620" t="s">
        <v>9</v>
      </c>
      <c r="E620">
        <v>2050</v>
      </c>
      <c r="F620">
        <f>F621*1.2</f>
        <v>2.0400000000000001E-2</v>
      </c>
      <c r="G620" s="4">
        <f t="shared" si="18"/>
        <v>0.19645200000000004</v>
      </c>
      <c r="H620" s="4">
        <f>30.8*((0.993)^28)</f>
        <v>25.300533228698679</v>
      </c>
      <c r="I620" s="10">
        <v>4.9120000000000006E-3</v>
      </c>
      <c r="J620" s="10">
        <v>7.9119999999999989E-3</v>
      </c>
      <c r="K620" s="10">
        <v>5.44E-4</v>
      </c>
      <c r="L620">
        <v>0.19645199999999999</v>
      </c>
      <c r="M620">
        <v>0.19645199999999999</v>
      </c>
    </row>
    <row r="621" spans="1:13" x14ac:dyDescent="0.3">
      <c r="A621" t="s">
        <v>32</v>
      </c>
      <c r="B621" t="s">
        <v>20</v>
      </c>
      <c r="C621" t="s">
        <v>38</v>
      </c>
      <c r="D621" t="s">
        <v>34</v>
      </c>
      <c r="E621">
        <v>2050</v>
      </c>
      <c r="F621">
        <v>1.7000000000000001E-2</v>
      </c>
      <c r="G621" s="4">
        <f t="shared" si="18"/>
        <v>0.16371000000000002</v>
      </c>
      <c r="H621" s="4">
        <f>0*((0.993)^28)</f>
        <v>0</v>
      </c>
      <c r="I621" s="10">
        <v>4.9120000000000006E-3</v>
      </c>
      <c r="J621" s="10">
        <v>7.9119999999999989E-3</v>
      </c>
      <c r="K621" s="10">
        <v>5.44E-4</v>
      </c>
      <c r="L621">
        <v>0.16370999999999999</v>
      </c>
      <c r="M621">
        <v>0.16370999999999999</v>
      </c>
    </row>
    <row r="622" spans="1:13" x14ac:dyDescent="0.3">
      <c r="A622" t="s">
        <v>32</v>
      </c>
      <c r="B622" t="s">
        <v>20</v>
      </c>
      <c r="C622" t="s">
        <v>38</v>
      </c>
      <c r="D622" t="s">
        <v>35</v>
      </c>
      <c r="E622">
        <v>2050</v>
      </c>
      <c r="F622">
        <f>F620*1.1</f>
        <v>2.2440000000000005E-2</v>
      </c>
      <c r="G622" s="4">
        <f t="shared" si="18"/>
        <v>0.21609720000000007</v>
      </c>
      <c r="H622" s="4">
        <f>(H620*0.7)*((0.993)^28)</f>
        <v>14.54811321946559</v>
      </c>
      <c r="I622" s="10">
        <v>4.9120000000000006E-3</v>
      </c>
      <c r="J622" s="10">
        <v>7.9119999999999989E-3</v>
      </c>
      <c r="K622" s="10">
        <v>5.44E-4</v>
      </c>
      <c r="L622">
        <v>0.27012150000000001</v>
      </c>
      <c r="M622">
        <v>0.16207289999999999</v>
      </c>
    </row>
    <row r="623" spans="1:13" x14ac:dyDescent="0.3">
      <c r="A623" t="s">
        <v>32</v>
      </c>
      <c r="B623" t="s">
        <v>20</v>
      </c>
      <c r="C623" t="s">
        <v>38</v>
      </c>
      <c r="D623" t="s">
        <v>36</v>
      </c>
      <c r="E623">
        <v>2050</v>
      </c>
      <c r="F623">
        <f>F620*1.1</f>
        <v>2.2440000000000005E-2</v>
      </c>
      <c r="G623" s="4">
        <f t="shared" si="18"/>
        <v>0.21609720000000007</v>
      </c>
      <c r="H623" s="4">
        <f>0*((0.993)^28)</f>
        <v>0</v>
      </c>
      <c r="I623" s="10">
        <v>4.9120000000000006E-3</v>
      </c>
      <c r="J623" s="10">
        <v>7.9119999999999989E-3</v>
      </c>
      <c r="K623" s="10">
        <v>5.44E-4</v>
      </c>
      <c r="L623">
        <v>0.27012150000000001</v>
      </c>
      <c r="M623">
        <v>0.16207289999999999</v>
      </c>
    </row>
    <row r="624" spans="1:13" x14ac:dyDescent="0.3">
      <c r="A624" t="s">
        <v>32</v>
      </c>
      <c r="B624" t="s">
        <v>20</v>
      </c>
      <c r="C624" t="s">
        <v>38</v>
      </c>
      <c r="D624" t="s">
        <v>11</v>
      </c>
      <c r="E624">
        <v>2050</v>
      </c>
      <c r="F624">
        <f>F620*1.25</f>
        <v>2.5500000000000002E-2</v>
      </c>
      <c r="G624" s="4">
        <f t="shared" si="18"/>
        <v>0.24556500000000003</v>
      </c>
      <c r="H624" s="4">
        <f>0*((0.993)^28)</f>
        <v>0</v>
      </c>
      <c r="I624" s="10">
        <v>4.9120000000000006E-3</v>
      </c>
      <c r="J624" s="10">
        <v>7.9119999999999989E-3</v>
      </c>
      <c r="K624" s="10">
        <v>5.44E-4</v>
      </c>
      <c r="L624">
        <v>0.30695624999999999</v>
      </c>
      <c r="M624">
        <v>0.18417375</v>
      </c>
    </row>
    <row r="625" spans="1:13" x14ac:dyDescent="0.3">
      <c r="A625" t="s">
        <v>32</v>
      </c>
      <c r="B625" t="s">
        <v>20</v>
      </c>
      <c r="C625" t="s">
        <v>38</v>
      </c>
      <c r="D625" t="s">
        <v>12</v>
      </c>
      <c r="E625">
        <v>2050</v>
      </c>
      <c r="F625">
        <f>F620*1.09</f>
        <v>2.2236000000000002E-2</v>
      </c>
      <c r="G625" s="4">
        <f t="shared" si="18"/>
        <v>0.21413268000000005</v>
      </c>
      <c r="H625" s="4">
        <f>(H620*0.3)*((0.993)^28)</f>
        <v>6.2349056654852522</v>
      </c>
      <c r="I625" s="10">
        <v>4.9120000000000006E-3</v>
      </c>
      <c r="J625" s="10">
        <v>7.9119999999999989E-3</v>
      </c>
      <c r="K625" s="10">
        <v>5.44E-4</v>
      </c>
      <c r="L625">
        <v>0.26766584999999998</v>
      </c>
      <c r="M625">
        <v>0.16059951</v>
      </c>
    </row>
    <row r="626" spans="1:13" x14ac:dyDescent="0.3">
      <c r="A626" t="s">
        <v>32</v>
      </c>
      <c r="B626" t="s">
        <v>22</v>
      </c>
      <c r="C626" t="s">
        <v>39</v>
      </c>
      <c r="D626" t="s">
        <v>9</v>
      </c>
      <c r="E626">
        <v>2050</v>
      </c>
      <c r="F626">
        <f>F627*1.2</f>
        <v>1.7999999999999999E-2</v>
      </c>
      <c r="G626" s="4">
        <f t="shared" si="18"/>
        <v>0.17333999999999999</v>
      </c>
      <c r="H626" s="4">
        <f>25.5*((0.993)^28)</f>
        <v>20.946870043240789</v>
      </c>
      <c r="I626" s="10">
        <v>4.9120000000000006E-3</v>
      </c>
      <c r="J626" s="10">
        <v>7.9119999999999989E-3</v>
      </c>
      <c r="K626" s="10">
        <v>5.44E-4</v>
      </c>
      <c r="L626">
        <v>0.17333999999999999</v>
      </c>
      <c r="M626">
        <v>0.17333999999999999</v>
      </c>
    </row>
    <row r="627" spans="1:13" x14ac:dyDescent="0.3">
      <c r="A627" t="s">
        <v>32</v>
      </c>
      <c r="B627" t="s">
        <v>22</v>
      </c>
      <c r="C627" t="s">
        <v>39</v>
      </c>
      <c r="D627" t="s">
        <v>34</v>
      </c>
      <c r="E627">
        <v>2050</v>
      </c>
      <c r="F627">
        <v>1.4999999999999999E-2</v>
      </c>
      <c r="G627" s="4">
        <f t="shared" si="18"/>
        <v>0.14445</v>
      </c>
      <c r="H627" s="4">
        <f>0*((0.993)^28)</f>
        <v>0</v>
      </c>
      <c r="I627" s="10">
        <v>4.9120000000000006E-3</v>
      </c>
      <c r="J627" s="10">
        <v>7.9119999999999989E-3</v>
      </c>
      <c r="K627" s="10">
        <v>5.44E-4</v>
      </c>
      <c r="L627">
        <v>0.14445</v>
      </c>
      <c r="M627">
        <v>0.14445</v>
      </c>
    </row>
    <row r="628" spans="1:13" x14ac:dyDescent="0.3">
      <c r="A628" t="s">
        <v>32</v>
      </c>
      <c r="B628" t="s">
        <v>22</v>
      </c>
      <c r="C628" t="s">
        <v>39</v>
      </c>
      <c r="D628" t="s">
        <v>35</v>
      </c>
      <c r="E628">
        <v>2050</v>
      </c>
      <c r="F628">
        <f>F626*1.1</f>
        <v>1.9800000000000002E-2</v>
      </c>
      <c r="G628" s="4">
        <f t="shared" si="18"/>
        <v>0.19067400000000004</v>
      </c>
      <c r="H628" s="4">
        <f>(H626*0.7)*((0.993)^28)</f>
        <v>12.044704126505602</v>
      </c>
      <c r="I628" s="10">
        <v>4.9120000000000006E-3</v>
      </c>
      <c r="J628" s="10">
        <v>7.9119999999999989E-3</v>
      </c>
      <c r="K628" s="10">
        <v>5.44E-4</v>
      </c>
      <c r="L628">
        <v>0.23834250000000001</v>
      </c>
      <c r="M628">
        <v>0.14300550000000001</v>
      </c>
    </row>
    <row r="629" spans="1:13" x14ac:dyDescent="0.3">
      <c r="A629" t="s">
        <v>32</v>
      </c>
      <c r="B629" t="s">
        <v>22</v>
      </c>
      <c r="C629" t="s">
        <v>39</v>
      </c>
      <c r="D629" t="s">
        <v>36</v>
      </c>
      <c r="E629">
        <v>2050</v>
      </c>
      <c r="F629">
        <f>F626*1.1</f>
        <v>1.9800000000000002E-2</v>
      </c>
      <c r="G629" s="4">
        <f t="shared" si="18"/>
        <v>0.19067400000000004</v>
      </c>
      <c r="H629" s="4">
        <f>0*((0.993)^28)</f>
        <v>0</v>
      </c>
      <c r="I629" s="10">
        <v>4.9120000000000006E-3</v>
      </c>
      <c r="J629" s="10">
        <v>7.9119999999999989E-3</v>
      </c>
      <c r="K629" s="10">
        <v>5.44E-4</v>
      </c>
      <c r="L629">
        <v>0.23834250000000001</v>
      </c>
      <c r="M629">
        <v>0.14300550000000001</v>
      </c>
    </row>
    <row r="630" spans="1:13" x14ac:dyDescent="0.3">
      <c r="A630" t="s">
        <v>32</v>
      </c>
      <c r="B630" t="s">
        <v>22</v>
      </c>
      <c r="C630" t="s">
        <v>39</v>
      </c>
      <c r="D630" t="s">
        <v>11</v>
      </c>
      <c r="E630">
        <v>2050</v>
      </c>
      <c r="F630">
        <f>F626*1.25</f>
        <v>2.2499999999999999E-2</v>
      </c>
      <c r="G630" s="4">
        <f t="shared" si="18"/>
        <v>0.21667500000000001</v>
      </c>
      <c r="H630" s="4">
        <f>0*((0.993)^28)</f>
        <v>0</v>
      </c>
      <c r="I630" s="10">
        <v>4.9120000000000006E-3</v>
      </c>
      <c r="J630" s="10">
        <v>7.9119999999999989E-3</v>
      </c>
      <c r="K630" s="10">
        <v>5.44E-4</v>
      </c>
      <c r="L630">
        <v>0.27084374999999999</v>
      </c>
      <c r="M630">
        <v>0.16250624999999999</v>
      </c>
    </row>
    <row r="631" spans="1:13" x14ac:dyDescent="0.3">
      <c r="A631" t="s">
        <v>32</v>
      </c>
      <c r="B631" t="s">
        <v>22</v>
      </c>
      <c r="C631" t="s">
        <v>39</v>
      </c>
      <c r="D631" t="s">
        <v>12</v>
      </c>
      <c r="E631">
        <v>2050</v>
      </c>
      <c r="F631">
        <f>F626*1.09</f>
        <v>1.9619999999999999E-2</v>
      </c>
      <c r="G631" s="4">
        <f t="shared" si="18"/>
        <v>0.18894060000000001</v>
      </c>
      <c r="H631" s="4">
        <f>(H626*0.2)*((0.993)^28)</f>
        <v>3.4413440361444576</v>
      </c>
      <c r="I631" s="10">
        <v>4.9120000000000006E-3</v>
      </c>
      <c r="J631" s="10">
        <v>7.9119999999999989E-3</v>
      </c>
      <c r="K631" s="10">
        <v>5.44E-4</v>
      </c>
      <c r="L631">
        <v>0.23617574999999999</v>
      </c>
      <c r="M631">
        <v>0.14170545000000001</v>
      </c>
    </row>
  </sheetData>
  <hyperlinks>
    <hyperlink ref="N2" r:id="rId1" xr:uid="{B0234E63-D20F-4343-956C-520F706EE0D0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F831B-63EE-41EE-8608-A14C8C13C67A}">
  <dimension ref="A1:I127"/>
  <sheetViews>
    <sheetView tabSelected="1" workbookViewId="0">
      <selection activeCell="H10" sqref="H10"/>
    </sheetView>
  </sheetViews>
  <sheetFormatPr defaultRowHeight="14.4" x14ac:dyDescent="0.3"/>
  <cols>
    <col min="2" max="2" width="14" bestFit="1" customWidth="1"/>
    <col min="3" max="3" width="23.88671875" bestFit="1" customWidth="1"/>
    <col min="4" max="4" width="14.88671875" bestFit="1" customWidth="1"/>
    <col min="5" max="5" width="8.66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>
        <v>2020</v>
      </c>
      <c r="F1" s="1">
        <v>2025</v>
      </c>
      <c r="G1" s="1">
        <v>2030</v>
      </c>
      <c r="H1" s="1">
        <v>2040</v>
      </c>
      <c r="I1" s="1">
        <v>2050</v>
      </c>
    </row>
    <row r="2" spans="1:9" x14ac:dyDescent="0.3">
      <c r="A2" t="s">
        <v>6</v>
      </c>
      <c r="B2" t="s">
        <v>7</v>
      </c>
      <c r="C2" t="s">
        <v>8</v>
      </c>
      <c r="D2" t="s">
        <v>9</v>
      </c>
    </row>
    <row r="3" spans="1:9" x14ac:dyDescent="0.3">
      <c r="A3" t="s">
        <v>6</v>
      </c>
      <c r="B3" t="s">
        <v>7</v>
      </c>
      <c r="C3" t="s">
        <v>8</v>
      </c>
      <c r="D3" t="s">
        <v>10</v>
      </c>
    </row>
    <row r="4" spans="1:9" x14ac:dyDescent="0.3">
      <c r="A4" t="s">
        <v>6</v>
      </c>
      <c r="B4" t="s">
        <v>7</v>
      </c>
      <c r="C4" t="s">
        <v>8</v>
      </c>
      <c r="D4" t="s">
        <v>11</v>
      </c>
    </row>
    <row r="5" spans="1:9" x14ac:dyDescent="0.3">
      <c r="A5" t="s">
        <v>6</v>
      </c>
      <c r="B5" t="s">
        <v>7</v>
      </c>
      <c r="C5" t="s">
        <v>8</v>
      </c>
      <c r="D5" t="s">
        <v>12</v>
      </c>
      <c r="F5" t="s">
        <v>147</v>
      </c>
    </row>
    <row r="6" spans="1:9" x14ac:dyDescent="0.3">
      <c r="A6" t="s">
        <v>6</v>
      </c>
      <c r="B6" t="s">
        <v>7</v>
      </c>
      <c r="C6" t="s">
        <v>8</v>
      </c>
      <c r="D6" t="s">
        <v>13</v>
      </c>
    </row>
    <row r="7" spans="1:9" x14ac:dyDescent="0.3">
      <c r="A7" t="s">
        <v>6</v>
      </c>
      <c r="B7" t="s">
        <v>14</v>
      </c>
      <c r="C7" t="s">
        <v>15</v>
      </c>
      <c r="D7" t="s">
        <v>9</v>
      </c>
    </row>
    <row r="8" spans="1:9" x14ac:dyDescent="0.3">
      <c r="A8" t="s">
        <v>6</v>
      </c>
      <c r="B8" t="s">
        <v>14</v>
      </c>
      <c r="C8" t="s">
        <v>15</v>
      </c>
      <c r="D8" t="s">
        <v>10</v>
      </c>
    </row>
    <row r="9" spans="1:9" x14ac:dyDescent="0.3">
      <c r="A9" t="s">
        <v>6</v>
      </c>
      <c r="B9" t="s">
        <v>14</v>
      </c>
      <c r="C9" t="s">
        <v>15</v>
      </c>
      <c r="D9" t="s">
        <v>11</v>
      </c>
    </row>
    <row r="10" spans="1:9" x14ac:dyDescent="0.3">
      <c r="A10" t="s">
        <v>6</v>
      </c>
      <c r="B10" t="s">
        <v>14</v>
      </c>
      <c r="C10" t="s">
        <v>15</v>
      </c>
      <c r="D10" t="s">
        <v>12</v>
      </c>
    </row>
    <row r="11" spans="1:9" x14ac:dyDescent="0.3">
      <c r="A11" t="s">
        <v>6</v>
      </c>
      <c r="B11" t="s">
        <v>14</v>
      </c>
      <c r="C11" t="s">
        <v>15</v>
      </c>
      <c r="D11" t="s">
        <v>13</v>
      </c>
    </row>
    <row r="12" spans="1:9" x14ac:dyDescent="0.3">
      <c r="A12" t="s">
        <v>6</v>
      </c>
      <c r="B12" t="s">
        <v>16</v>
      </c>
      <c r="C12" t="s">
        <v>17</v>
      </c>
      <c r="D12" t="s">
        <v>9</v>
      </c>
    </row>
    <row r="13" spans="1:9" x14ac:dyDescent="0.3">
      <c r="A13" t="s">
        <v>6</v>
      </c>
      <c r="B13" t="s">
        <v>16</v>
      </c>
      <c r="C13" t="s">
        <v>17</v>
      </c>
      <c r="D13" t="s">
        <v>10</v>
      </c>
    </row>
    <row r="14" spans="1:9" x14ac:dyDescent="0.3">
      <c r="A14" t="s">
        <v>6</v>
      </c>
      <c r="B14" t="s">
        <v>16</v>
      </c>
      <c r="C14" t="s">
        <v>17</v>
      </c>
      <c r="D14" t="s">
        <v>11</v>
      </c>
    </row>
    <row r="15" spans="1:9" x14ac:dyDescent="0.3">
      <c r="A15" t="s">
        <v>6</v>
      </c>
      <c r="B15" t="s">
        <v>16</v>
      </c>
      <c r="C15" t="s">
        <v>17</v>
      </c>
      <c r="D15" t="s">
        <v>12</v>
      </c>
    </row>
    <row r="16" spans="1:9" x14ac:dyDescent="0.3">
      <c r="A16" t="s">
        <v>6</v>
      </c>
      <c r="B16" t="s">
        <v>16</v>
      </c>
      <c r="C16" t="s">
        <v>17</v>
      </c>
      <c r="D16" t="s">
        <v>13</v>
      </c>
    </row>
    <row r="17" spans="1:4" x14ac:dyDescent="0.3">
      <c r="A17" t="s">
        <v>6</v>
      </c>
      <c r="B17" t="s">
        <v>65</v>
      </c>
      <c r="C17" t="s">
        <v>17</v>
      </c>
      <c r="D17" t="s">
        <v>9</v>
      </c>
    </row>
    <row r="18" spans="1:4" x14ac:dyDescent="0.3">
      <c r="A18" t="s">
        <v>6</v>
      </c>
      <c r="B18" t="s">
        <v>65</v>
      </c>
      <c r="C18" t="s">
        <v>17</v>
      </c>
      <c r="D18" t="s">
        <v>10</v>
      </c>
    </row>
    <row r="19" spans="1:4" x14ac:dyDescent="0.3">
      <c r="A19" t="s">
        <v>6</v>
      </c>
      <c r="B19" t="s">
        <v>65</v>
      </c>
      <c r="C19" t="s">
        <v>17</v>
      </c>
      <c r="D19" t="s">
        <v>11</v>
      </c>
    </row>
    <row r="20" spans="1:4" x14ac:dyDescent="0.3">
      <c r="A20" t="s">
        <v>6</v>
      </c>
      <c r="B20" t="s">
        <v>65</v>
      </c>
      <c r="C20" t="s">
        <v>17</v>
      </c>
      <c r="D20" t="s">
        <v>12</v>
      </c>
    </row>
    <row r="21" spans="1:4" x14ac:dyDescent="0.3">
      <c r="A21" t="s">
        <v>6</v>
      </c>
      <c r="B21" t="s">
        <v>65</v>
      </c>
      <c r="C21" t="s">
        <v>17</v>
      </c>
      <c r="D21" t="s">
        <v>13</v>
      </c>
    </row>
    <row r="22" spans="1:4" x14ac:dyDescent="0.3">
      <c r="A22" t="s">
        <v>6</v>
      </c>
      <c r="B22" t="s">
        <v>18</v>
      </c>
      <c r="C22" t="s">
        <v>19</v>
      </c>
      <c r="D22" t="s">
        <v>9</v>
      </c>
    </row>
    <row r="23" spans="1:4" x14ac:dyDescent="0.3">
      <c r="A23" t="s">
        <v>6</v>
      </c>
      <c r="B23" t="s">
        <v>18</v>
      </c>
      <c r="C23" t="s">
        <v>19</v>
      </c>
      <c r="D23" t="s">
        <v>10</v>
      </c>
    </row>
    <row r="24" spans="1:4" x14ac:dyDescent="0.3">
      <c r="A24" t="s">
        <v>6</v>
      </c>
      <c r="B24" t="s">
        <v>18</v>
      </c>
      <c r="C24" t="s">
        <v>19</v>
      </c>
      <c r="D24" t="s">
        <v>11</v>
      </c>
    </row>
    <row r="25" spans="1:4" x14ac:dyDescent="0.3">
      <c r="A25" t="s">
        <v>6</v>
      </c>
      <c r="B25" t="s">
        <v>18</v>
      </c>
      <c r="C25" t="s">
        <v>19</v>
      </c>
      <c r="D25" t="s">
        <v>12</v>
      </c>
    </row>
    <row r="26" spans="1:4" x14ac:dyDescent="0.3">
      <c r="A26" t="s">
        <v>6</v>
      </c>
      <c r="B26" t="s">
        <v>18</v>
      </c>
      <c r="C26" t="s">
        <v>19</v>
      </c>
      <c r="D26" t="s">
        <v>13</v>
      </c>
    </row>
    <row r="27" spans="1:4" x14ac:dyDescent="0.3">
      <c r="A27" t="s">
        <v>6</v>
      </c>
      <c r="B27" t="s">
        <v>20</v>
      </c>
      <c r="C27" t="s">
        <v>21</v>
      </c>
      <c r="D27" t="s">
        <v>9</v>
      </c>
    </row>
    <row r="28" spans="1:4" x14ac:dyDescent="0.3">
      <c r="A28" t="s">
        <v>6</v>
      </c>
      <c r="B28" t="s">
        <v>20</v>
      </c>
      <c r="C28" t="s">
        <v>21</v>
      </c>
      <c r="D28" t="s">
        <v>10</v>
      </c>
    </row>
    <row r="29" spans="1:4" x14ac:dyDescent="0.3">
      <c r="A29" t="s">
        <v>6</v>
      </c>
      <c r="B29" t="s">
        <v>20</v>
      </c>
      <c r="C29" t="s">
        <v>21</v>
      </c>
      <c r="D29" t="s">
        <v>11</v>
      </c>
    </row>
    <row r="30" spans="1:4" x14ac:dyDescent="0.3">
      <c r="A30" t="s">
        <v>6</v>
      </c>
      <c r="B30" t="s">
        <v>20</v>
      </c>
      <c r="C30" t="s">
        <v>21</v>
      </c>
      <c r="D30" t="s">
        <v>12</v>
      </c>
    </row>
    <row r="31" spans="1:4" x14ac:dyDescent="0.3">
      <c r="A31" t="s">
        <v>6</v>
      </c>
      <c r="B31" t="s">
        <v>20</v>
      </c>
      <c r="C31" t="s">
        <v>21</v>
      </c>
      <c r="D31" t="s">
        <v>13</v>
      </c>
    </row>
    <row r="32" spans="1:4" x14ac:dyDescent="0.3">
      <c r="A32" t="s">
        <v>6</v>
      </c>
      <c r="B32" t="s">
        <v>22</v>
      </c>
      <c r="C32" t="s">
        <v>23</v>
      </c>
      <c r="D32" t="s">
        <v>9</v>
      </c>
    </row>
    <row r="33" spans="1:4" x14ac:dyDescent="0.3">
      <c r="A33" t="s">
        <v>6</v>
      </c>
      <c r="B33" t="s">
        <v>22</v>
      </c>
      <c r="C33" t="s">
        <v>23</v>
      </c>
      <c r="D33" t="s">
        <v>10</v>
      </c>
    </row>
    <row r="34" spans="1:4" x14ac:dyDescent="0.3">
      <c r="A34" t="s">
        <v>6</v>
      </c>
      <c r="B34" t="s">
        <v>22</v>
      </c>
      <c r="C34" t="s">
        <v>23</v>
      </c>
      <c r="D34" t="s">
        <v>11</v>
      </c>
    </row>
    <row r="35" spans="1:4" x14ac:dyDescent="0.3">
      <c r="A35" t="s">
        <v>6</v>
      </c>
      <c r="B35" t="s">
        <v>22</v>
      </c>
      <c r="C35" t="s">
        <v>23</v>
      </c>
      <c r="D35" t="s">
        <v>12</v>
      </c>
    </row>
    <row r="36" spans="1:4" x14ac:dyDescent="0.3">
      <c r="A36" t="s">
        <v>6</v>
      </c>
      <c r="B36" t="s">
        <v>22</v>
      </c>
      <c r="C36" t="s">
        <v>23</v>
      </c>
      <c r="D36" t="s">
        <v>13</v>
      </c>
    </row>
    <row r="37" spans="1:4" x14ac:dyDescent="0.3">
      <c r="A37" t="s">
        <v>40</v>
      </c>
      <c r="B37" t="s">
        <v>7</v>
      </c>
      <c r="C37" t="s">
        <v>24</v>
      </c>
      <c r="D37" t="s">
        <v>44</v>
      </c>
    </row>
    <row r="38" spans="1:4" x14ac:dyDescent="0.3">
      <c r="A38" t="s">
        <v>40</v>
      </c>
      <c r="B38" t="s">
        <v>7</v>
      </c>
      <c r="C38" t="s">
        <v>24</v>
      </c>
      <c r="D38" t="s">
        <v>25</v>
      </c>
    </row>
    <row r="39" spans="1:4" x14ac:dyDescent="0.3">
      <c r="A39" t="s">
        <v>40</v>
      </c>
      <c r="B39" t="s">
        <v>7</v>
      </c>
      <c r="C39" t="s">
        <v>24</v>
      </c>
      <c r="D39" t="s">
        <v>26</v>
      </c>
    </row>
    <row r="40" spans="1:4" x14ac:dyDescent="0.3">
      <c r="A40" t="s">
        <v>40</v>
      </c>
      <c r="B40" t="s">
        <v>7</v>
      </c>
      <c r="C40" t="s">
        <v>24</v>
      </c>
      <c r="D40" t="s">
        <v>11</v>
      </c>
    </row>
    <row r="41" spans="1:4" x14ac:dyDescent="0.3">
      <c r="A41" t="s">
        <v>40</v>
      </c>
      <c r="B41" t="s">
        <v>7</v>
      </c>
      <c r="C41" t="s">
        <v>24</v>
      </c>
      <c r="D41" t="s">
        <v>27</v>
      </c>
    </row>
    <row r="42" spans="1:4" x14ac:dyDescent="0.3">
      <c r="A42" t="s">
        <v>40</v>
      </c>
      <c r="B42" t="s">
        <v>7</v>
      </c>
      <c r="C42" t="s">
        <v>24</v>
      </c>
      <c r="D42" t="s">
        <v>28</v>
      </c>
    </row>
    <row r="43" spans="1:4" x14ac:dyDescent="0.3">
      <c r="A43" t="s">
        <v>40</v>
      </c>
      <c r="B43" t="s">
        <v>7</v>
      </c>
      <c r="C43" t="s">
        <v>24</v>
      </c>
      <c r="D43" t="s">
        <v>13</v>
      </c>
    </row>
    <row r="44" spans="1:4" x14ac:dyDescent="0.3">
      <c r="A44" t="s">
        <v>40</v>
      </c>
      <c r="B44" t="s">
        <v>14</v>
      </c>
      <c r="C44" t="s">
        <v>29</v>
      </c>
      <c r="D44" t="s">
        <v>44</v>
      </c>
    </row>
    <row r="45" spans="1:4" x14ac:dyDescent="0.3">
      <c r="A45" t="s">
        <v>40</v>
      </c>
      <c r="B45" t="s">
        <v>14</v>
      </c>
      <c r="C45" t="s">
        <v>29</v>
      </c>
      <c r="D45" t="s">
        <v>25</v>
      </c>
    </row>
    <row r="46" spans="1:4" x14ac:dyDescent="0.3">
      <c r="A46" t="s">
        <v>40</v>
      </c>
      <c r="B46" t="s">
        <v>14</v>
      </c>
      <c r="C46" t="s">
        <v>29</v>
      </c>
      <c r="D46" t="s">
        <v>26</v>
      </c>
    </row>
    <row r="47" spans="1:4" x14ac:dyDescent="0.3">
      <c r="A47" t="s">
        <v>40</v>
      </c>
      <c r="B47" t="s">
        <v>14</v>
      </c>
      <c r="C47" t="s">
        <v>29</v>
      </c>
      <c r="D47" t="s">
        <v>11</v>
      </c>
    </row>
    <row r="48" spans="1:4" x14ac:dyDescent="0.3">
      <c r="A48" t="s">
        <v>40</v>
      </c>
      <c r="B48" t="s">
        <v>14</v>
      </c>
      <c r="C48" t="s">
        <v>29</v>
      </c>
      <c r="D48" t="s">
        <v>27</v>
      </c>
    </row>
    <row r="49" spans="1:4" x14ac:dyDescent="0.3">
      <c r="A49" t="s">
        <v>40</v>
      </c>
      <c r="B49" t="s">
        <v>14</v>
      </c>
      <c r="C49" t="s">
        <v>29</v>
      </c>
      <c r="D49" t="s">
        <v>28</v>
      </c>
    </row>
    <row r="50" spans="1:4" x14ac:dyDescent="0.3">
      <c r="A50" t="s">
        <v>40</v>
      </c>
      <c r="B50" t="s">
        <v>14</v>
      </c>
      <c r="C50" t="s">
        <v>29</v>
      </c>
      <c r="D50" t="s">
        <v>13</v>
      </c>
    </row>
    <row r="51" spans="1:4" x14ac:dyDescent="0.3">
      <c r="A51" t="s">
        <v>40</v>
      </c>
      <c r="B51" t="s">
        <v>16</v>
      </c>
      <c r="C51" t="s">
        <v>29</v>
      </c>
      <c r="D51" t="s">
        <v>44</v>
      </c>
    </row>
    <row r="52" spans="1:4" x14ac:dyDescent="0.3">
      <c r="A52" t="s">
        <v>40</v>
      </c>
      <c r="B52" t="s">
        <v>16</v>
      </c>
      <c r="C52" t="s">
        <v>29</v>
      </c>
      <c r="D52" t="s">
        <v>25</v>
      </c>
    </row>
    <row r="53" spans="1:4" x14ac:dyDescent="0.3">
      <c r="A53" t="s">
        <v>40</v>
      </c>
      <c r="B53" t="s">
        <v>16</v>
      </c>
      <c r="C53" t="s">
        <v>29</v>
      </c>
      <c r="D53" t="s">
        <v>26</v>
      </c>
    </row>
    <row r="54" spans="1:4" x14ac:dyDescent="0.3">
      <c r="A54" t="s">
        <v>40</v>
      </c>
      <c r="B54" t="s">
        <v>16</v>
      </c>
      <c r="C54" t="s">
        <v>29</v>
      </c>
      <c r="D54" t="s">
        <v>11</v>
      </c>
    </row>
    <row r="55" spans="1:4" x14ac:dyDescent="0.3">
      <c r="A55" t="s">
        <v>40</v>
      </c>
      <c r="B55" t="s">
        <v>16</v>
      </c>
      <c r="C55" t="s">
        <v>29</v>
      </c>
      <c r="D55" t="s">
        <v>27</v>
      </c>
    </row>
    <row r="56" spans="1:4" x14ac:dyDescent="0.3">
      <c r="A56" t="s">
        <v>40</v>
      </c>
      <c r="B56" t="s">
        <v>16</v>
      </c>
      <c r="C56" t="s">
        <v>29</v>
      </c>
      <c r="D56" t="s">
        <v>28</v>
      </c>
    </row>
    <row r="57" spans="1:4" x14ac:dyDescent="0.3">
      <c r="A57" t="s">
        <v>40</v>
      </c>
      <c r="B57" t="s">
        <v>16</v>
      </c>
      <c r="C57" t="s">
        <v>29</v>
      </c>
      <c r="D57" t="s">
        <v>13</v>
      </c>
    </row>
    <row r="58" spans="1:4" x14ac:dyDescent="0.3">
      <c r="A58" t="s">
        <v>40</v>
      </c>
      <c r="B58" t="s">
        <v>65</v>
      </c>
      <c r="C58" t="s">
        <v>29</v>
      </c>
      <c r="D58" t="s">
        <v>44</v>
      </c>
    </row>
    <row r="59" spans="1:4" x14ac:dyDescent="0.3">
      <c r="A59" t="s">
        <v>40</v>
      </c>
      <c r="B59" t="s">
        <v>65</v>
      </c>
      <c r="C59" t="s">
        <v>29</v>
      </c>
      <c r="D59" t="s">
        <v>25</v>
      </c>
    </row>
    <row r="60" spans="1:4" x14ac:dyDescent="0.3">
      <c r="A60" t="s">
        <v>40</v>
      </c>
      <c r="B60" t="s">
        <v>65</v>
      </c>
      <c r="C60" t="s">
        <v>29</v>
      </c>
      <c r="D60" t="s">
        <v>26</v>
      </c>
    </row>
    <row r="61" spans="1:4" x14ac:dyDescent="0.3">
      <c r="A61" t="s">
        <v>40</v>
      </c>
      <c r="B61" t="s">
        <v>65</v>
      </c>
      <c r="C61" t="s">
        <v>29</v>
      </c>
      <c r="D61" t="s">
        <v>11</v>
      </c>
    </row>
    <row r="62" spans="1:4" x14ac:dyDescent="0.3">
      <c r="A62" t="s">
        <v>40</v>
      </c>
      <c r="B62" t="s">
        <v>65</v>
      </c>
      <c r="C62" t="s">
        <v>29</v>
      </c>
      <c r="D62" t="s">
        <v>27</v>
      </c>
    </row>
    <row r="63" spans="1:4" x14ac:dyDescent="0.3">
      <c r="A63" t="s">
        <v>40</v>
      </c>
      <c r="B63" t="s">
        <v>65</v>
      </c>
      <c r="C63" t="s">
        <v>29</v>
      </c>
      <c r="D63" t="s">
        <v>28</v>
      </c>
    </row>
    <row r="64" spans="1:4" x14ac:dyDescent="0.3">
      <c r="A64" t="s">
        <v>40</v>
      </c>
      <c r="B64" t="s">
        <v>65</v>
      </c>
      <c r="C64" t="s">
        <v>29</v>
      </c>
      <c r="D64" t="s">
        <v>13</v>
      </c>
    </row>
    <row r="65" spans="1:4" x14ac:dyDescent="0.3">
      <c r="A65" t="s">
        <v>40</v>
      </c>
      <c r="B65" t="s">
        <v>18</v>
      </c>
      <c r="C65" t="s">
        <v>30</v>
      </c>
      <c r="D65" t="s">
        <v>44</v>
      </c>
    </row>
    <row r="66" spans="1:4" x14ac:dyDescent="0.3">
      <c r="A66" t="s">
        <v>40</v>
      </c>
      <c r="B66" t="s">
        <v>18</v>
      </c>
      <c r="C66" t="s">
        <v>30</v>
      </c>
      <c r="D66" t="s">
        <v>25</v>
      </c>
    </row>
    <row r="67" spans="1:4" x14ac:dyDescent="0.3">
      <c r="A67" t="s">
        <v>40</v>
      </c>
      <c r="B67" t="s">
        <v>18</v>
      </c>
      <c r="C67" t="s">
        <v>30</v>
      </c>
      <c r="D67" t="s">
        <v>26</v>
      </c>
    </row>
    <row r="68" spans="1:4" x14ac:dyDescent="0.3">
      <c r="A68" t="s">
        <v>40</v>
      </c>
      <c r="B68" t="s">
        <v>18</v>
      </c>
      <c r="C68" t="s">
        <v>30</v>
      </c>
      <c r="D68" t="s">
        <v>11</v>
      </c>
    </row>
    <row r="69" spans="1:4" x14ac:dyDescent="0.3">
      <c r="A69" t="s">
        <v>40</v>
      </c>
      <c r="B69" t="s">
        <v>18</v>
      </c>
      <c r="C69" t="s">
        <v>30</v>
      </c>
      <c r="D69" t="s">
        <v>27</v>
      </c>
    </row>
    <row r="70" spans="1:4" x14ac:dyDescent="0.3">
      <c r="A70" t="s">
        <v>40</v>
      </c>
      <c r="B70" t="s">
        <v>18</v>
      </c>
      <c r="C70" t="s">
        <v>30</v>
      </c>
      <c r="D70" t="s">
        <v>28</v>
      </c>
    </row>
    <row r="71" spans="1:4" x14ac:dyDescent="0.3">
      <c r="A71" t="s">
        <v>40</v>
      </c>
      <c r="B71" t="s">
        <v>18</v>
      </c>
      <c r="C71" t="s">
        <v>30</v>
      </c>
      <c r="D71" t="s">
        <v>13</v>
      </c>
    </row>
    <row r="72" spans="1:4" x14ac:dyDescent="0.3">
      <c r="A72" t="s">
        <v>40</v>
      </c>
      <c r="B72" t="s">
        <v>20</v>
      </c>
      <c r="C72" t="s">
        <v>30</v>
      </c>
      <c r="D72" t="s">
        <v>44</v>
      </c>
    </row>
    <row r="73" spans="1:4" x14ac:dyDescent="0.3">
      <c r="A73" t="s">
        <v>40</v>
      </c>
      <c r="B73" t="s">
        <v>20</v>
      </c>
      <c r="C73" t="s">
        <v>30</v>
      </c>
      <c r="D73" t="s">
        <v>25</v>
      </c>
    </row>
    <row r="74" spans="1:4" x14ac:dyDescent="0.3">
      <c r="A74" t="s">
        <v>40</v>
      </c>
      <c r="B74" t="s">
        <v>20</v>
      </c>
      <c r="C74" t="s">
        <v>30</v>
      </c>
      <c r="D74" t="s">
        <v>26</v>
      </c>
    </row>
    <row r="75" spans="1:4" x14ac:dyDescent="0.3">
      <c r="A75" t="s">
        <v>40</v>
      </c>
      <c r="B75" t="s">
        <v>20</v>
      </c>
      <c r="C75" t="s">
        <v>30</v>
      </c>
      <c r="D75" t="s">
        <v>11</v>
      </c>
    </row>
    <row r="76" spans="1:4" x14ac:dyDescent="0.3">
      <c r="A76" t="s">
        <v>40</v>
      </c>
      <c r="B76" t="s">
        <v>20</v>
      </c>
      <c r="C76" t="s">
        <v>30</v>
      </c>
      <c r="D76" t="s">
        <v>27</v>
      </c>
    </row>
    <row r="77" spans="1:4" x14ac:dyDescent="0.3">
      <c r="A77" t="s">
        <v>40</v>
      </c>
      <c r="B77" t="s">
        <v>20</v>
      </c>
      <c r="C77" t="s">
        <v>30</v>
      </c>
      <c r="D77" t="s">
        <v>28</v>
      </c>
    </row>
    <row r="78" spans="1:4" x14ac:dyDescent="0.3">
      <c r="A78" t="s">
        <v>40</v>
      </c>
      <c r="B78" t="s">
        <v>20</v>
      </c>
      <c r="C78" t="s">
        <v>30</v>
      </c>
      <c r="D78" t="s">
        <v>13</v>
      </c>
    </row>
    <row r="79" spans="1:4" x14ac:dyDescent="0.3">
      <c r="A79" t="s">
        <v>40</v>
      </c>
      <c r="B79" t="s">
        <v>22</v>
      </c>
      <c r="C79" t="s">
        <v>31</v>
      </c>
      <c r="D79" t="s">
        <v>44</v>
      </c>
    </row>
    <row r="80" spans="1:4" x14ac:dyDescent="0.3">
      <c r="A80" t="s">
        <v>40</v>
      </c>
      <c r="B80" t="s">
        <v>22</v>
      </c>
      <c r="C80" t="s">
        <v>31</v>
      </c>
      <c r="D80" t="s">
        <v>25</v>
      </c>
    </row>
    <row r="81" spans="1:4" x14ac:dyDescent="0.3">
      <c r="A81" t="s">
        <v>40</v>
      </c>
      <c r="B81" t="s">
        <v>22</v>
      </c>
      <c r="C81" t="s">
        <v>31</v>
      </c>
      <c r="D81" t="s">
        <v>26</v>
      </c>
    </row>
    <row r="82" spans="1:4" x14ac:dyDescent="0.3">
      <c r="A82" t="s">
        <v>40</v>
      </c>
      <c r="B82" t="s">
        <v>22</v>
      </c>
      <c r="C82" t="s">
        <v>31</v>
      </c>
      <c r="D82" t="s">
        <v>11</v>
      </c>
    </row>
    <row r="83" spans="1:4" x14ac:dyDescent="0.3">
      <c r="A83" t="s">
        <v>40</v>
      </c>
      <c r="B83" t="s">
        <v>22</v>
      </c>
      <c r="C83" t="s">
        <v>31</v>
      </c>
      <c r="D83" t="s">
        <v>27</v>
      </c>
    </row>
    <row r="84" spans="1:4" x14ac:dyDescent="0.3">
      <c r="A84" t="s">
        <v>40</v>
      </c>
      <c r="B84" t="s">
        <v>22</v>
      </c>
      <c r="C84" t="s">
        <v>31</v>
      </c>
      <c r="D84" t="s">
        <v>28</v>
      </c>
    </row>
    <row r="85" spans="1:4" x14ac:dyDescent="0.3">
      <c r="A85" t="s">
        <v>40</v>
      </c>
      <c r="B85" t="s">
        <v>22</v>
      </c>
      <c r="C85" t="s">
        <v>31</v>
      </c>
      <c r="D85" t="s">
        <v>13</v>
      </c>
    </row>
    <row r="86" spans="1:4" x14ac:dyDescent="0.3">
      <c r="A86" t="s">
        <v>32</v>
      </c>
      <c r="B86" t="s">
        <v>7</v>
      </c>
      <c r="C86" t="s">
        <v>33</v>
      </c>
      <c r="D86" t="s">
        <v>9</v>
      </c>
    </row>
    <row r="87" spans="1:4" x14ac:dyDescent="0.3">
      <c r="A87" t="s">
        <v>32</v>
      </c>
      <c r="B87" t="s">
        <v>7</v>
      </c>
      <c r="C87" t="s">
        <v>33</v>
      </c>
      <c r="D87" t="s">
        <v>34</v>
      </c>
    </row>
    <row r="88" spans="1:4" x14ac:dyDescent="0.3">
      <c r="A88" t="s">
        <v>32</v>
      </c>
      <c r="B88" t="s">
        <v>7</v>
      </c>
      <c r="C88" t="s">
        <v>33</v>
      </c>
      <c r="D88" t="s">
        <v>35</v>
      </c>
    </row>
    <row r="89" spans="1:4" x14ac:dyDescent="0.3">
      <c r="A89" t="s">
        <v>32</v>
      </c>
      <c r="B89" t="s">
        <v>7</v>
      </c>
      <c r="C89" t="s">
        <v>33</v>
      </c>
      <c r="D89" t="s">
        <v>36</v>
      </c>
    </row>
    <row r="90" spans="1:4" x14ac:dyDescent="0.3">
      <c r="A90" t="s">
        <v>32</v>
      </c>
      <c r="B90" t="s">
        <v>7</v>
      </c>
      <c r="C90" t="s">
        <v>33</v>
      </c>
      <c r="D90" t="s">
        <v>11</v>
      </c>
    </row>
    <row r="91" spans="1:4" x14ac:dyDescent="0.3">
      <c r="A91" t="s">
        <v>32</v>
      </c>
      <c r="B91" t="s">
        <v>7</v>
      </c>
      <c r="C91" t="s">
        <v>33</v>
      </c>
      <c r="D91" t="s">
        <v>12</v>
      </c>
    </row>
    <row r="92" spans="1:4" x14ac:dyDescent="0.3">
      <c r="A92" t="s">
        <v>32</v>
      </c>
      <c r="B92" t="s">
        <v>14</v>
      </c>
      <c r="C92" t="s">
        <v>37</v>
      </c>
      <c r="D92" t="s">
        <v>9</v>
      </c>
    </row>
    <row r="93" spans="1:4" x14ac:dyDescent="0.3">
      <c r="A93" t="s">
        <v>32</v>
      </c>
      <c r="B93" t="s">
        <v>14</v>
      </c>
      <c r="C93" t="s">
        <v>37</v>
      </c>
      <c r="D93" t="s">
        <v>34</v>
      </c>
    </row>
    <row r="94" spans="1:4" x14ac:dyDescent="0.3">
      <c r="A94" t="s">
        <v>32</v>
      </c>
      <c r="B94" t="s">
        <v>14</v>
      </c>
      <c r="C94" t="s">
        <v>37</v>
      </c>
      <c r="D94" t="s">
        <v>35</v>
      </c>
    </row>
    <row r="95" spans="1:4" x14ac:dyDescent="0.3">
      <c r="A95" t="s">
        <v>32</v>
      </c>
      <c r="B95" t="s">
        <v>14</v>
      </c>
      <c r="C95" t="s">
        <v>37</v>
      </c>
      <c r="D95" t="s">
        <v>36</v>
      </c>
    </row>
    <row r="96" spans="1:4" x14ac:dyDescent="0.3">
      <c r="A96" t="s">
        <v>32</v>
      </c>
      <c r="B96" t="s">
        <v>14</v>
      </c>
      <c r="C96" t="s">
        <v>37</v>
      </c>
      <c r="D96" t="s">
        <v>11</v>
      </c>
    </row>
    <row r="97" spans="1:4" x14ac:dyDescent="0.3">
      <c r="A97" t="s">
        <v>32</v>
      </c>
      <c r="B97" t="s">
        <v>14</v>
      </c>
      <c r="C97" t="s">
        <v>37</v>
      </c>
      <c r="D97" t="s">
        <v>12</v>
      </c>
    </row>
    <row r="98" spans="1:4" x14ac:dyDescent="0.3">
      <c r="A98" t="s">
        <v>32</v>
      </c>
      <c r="B98" t="s">
        <v>16</v>
      </c>
      <c r="C98" t="s">
        <v>37</v>
      </c>
      <c r="D98" t="s">
        <v>9</v>
      </c>
    </row>
    <row r="99" spans="1:4" x14ac:dyDescent="0.3">
      <c r="A99" t="s">
        <v>32</v>
      </c>
      <c r="B99" t="s">
        <v>16</v>
      </c>
      <c r="C99" t="s">
        <v>37</v>
      </c>
      <c r="D99" t="s">
        <v>34</v>
      </c>
    </row>
    <row r="100" spans="1:4" x14ac:dyDescent="0.3">
      <c r="A100" t="s">
        <v>32</v>
      </c>
      <c r="B100" t="s">
        <v>16</v>
      </c>
      <c r="C100" t="s">
        <v>37</v>
      </c>
      <c r="D100" t="s">
        <v>35</v>
      </c>
    </row>
    <row r="101" spans="1:4" x14ac:dyDescent="0.3">
      <c r="A101" t="s">
        <v>32</v>
      </c>
      <c r="B101" t="s">
        <v>16</v>
      </c>
      <c r="C101" t="s">
        <v>37</v>
      </c>
      <c r="D101" t="s">
        <v>36</v>
      </c>
    </row>
    <row r="102" spans="1:4" x14ac:dyDescent="0.3">
      <c r="A102" t="s">
        <v>32</v>
      </c>
      <c r="B102" t="s">
        <v>16</v>
      </c>
      <c r="C102" t="s">
        <v>37</v>
      </c>
      <c r="D102" t="s">
        <v>11</v>
      </c>
    </row>
    <row r="103" spans="1:4" x14ac:dyDescent="0.3">
      <c r="A103" t="s">
        <v>32</v>
      </c>
      <c r="B103" t="s">
        <v>16</v>
      </c>
      <c r="C103" t="s">
        <v>37</v>
      </c>
      <c r="D103" t="s">
        <v>12</v>
      </c>
    </row>
    <row r="104" spans="1:4" x14ac:dyDescent="0.3">
      <c r="A104" t="s">
        <v>32</v>
      </c>
      <c r="B104" t="s">
        <v>65</v>
      </c>
      <c r="C104" t="s">
        <v>37</v>
      </c>
      <c r="D104" t="s">
        <v>9</v>
      </c>
    </row>
    <row r="105" spans="1:4" x14ac:dyDescent="0.3">
      <c r="A105" t="s">
        <v>32</v>
      </c>
      <c r="B105" t="s">
        <v>65</v>
      </c>
      <c r="C105" t="s">
        <v>37</v>
      </c>
      <c r="D105" t="s">
        <v>34</v>
      </c>
    </row>
    <row r="106" spans="1:4" x14ac:dyDescent="0.3">
      <c r="A106" t="s">
        <v>32</v>
      </c>
      <c r="B106" t="s">
        <v>65</v>
      </c>
      <c r="C106" t="s">
        <v>37</v>
      </c>
      <c r="D106" t="s">
        <v>35</v>
      </c>
    </row>
    <row r="107" spans="1:4" x14ac:dyDescent="0.3">
      <c r="A107" t="s">
        <v>32</v>
      </c>
      <c r="B107" t="s">
        <v>65</v>
      </c>
      <c r="C107" t="s">
        <v>37</v>
      </c>
      <c r="D107" t="s">
        <v>36</v>
      </c>
    </row>
    <row r="108" spans="1:4" x14ac:dyDescent="0.3">
      <c r="A108" t="s">
        <v>32</v>
      </c>
      <c r="B108" t="s">
        <v>65</v>
      </c>
      <c r="C108" t="s">
        <v>37</v>
      </c>
      <c r="D108" t="s">
        <v>11</v>
      </c>
    </row>
    <row r="109" spans="1:4" x14ac:dyDescent="0.3">
      <c r="A109" t="s">
        <v>32</v>
      </c>
      <c r="B109" t="s">
        <v>65</v>
      </c>
      <c r="C109" t="s">
        <v>37</v>
      </c>
      <c r="D109" t="s">
        <v>12</v>
      </c>
    </row>
    <row r="110" spans="1:4" x14ac:dyDescent="0.3">
      <c r="A110" t="s">
        <v>32</v>
      </c>
      <c r="B110" t="s">
        <v>18</v>
      </c>
      <c r="C110" t="s">
        <v>37</v>
      </c>
      <c r="D110" t="s">
        <v>9</v>
      </c>
    </row>
    <row r="111" spans="1:4" x14ac:dyDescent="0.3">
      <c r="A111" t="s">
        <v>32</v>
      </c>
      <c r="B111" t="s">
        <v>18</v>
      </c>
      <c r="C111" t="s">
        <v>37</v>
      </c>
      <c r="D111" t="s">
        <v>34</v>
      </c>
    </row>
    <row r="112" spans="1:4" x14ac:dyDescent="0.3">
      <c r="A112" t="s">
        <v>32</v>
      </c>
      <c r="B112" t="s">
        <v>18</v>
      </c>
      <c r="C112" t="s">
        <v>37</v>
      </c>
      <c r="D112" t="s">
        <v>35</v>
      </c>
    </row>
    <row r="113" spans="1:4" x14ac:dyDescent="0.3">
      <c r="A113" t="s">
        <v>32</v>
      </c>
      <c r="B113" t="s">
        <v>18</v>
      </c>
      <c r="C113" t="s">
        <v>37</v>
      </c>
      <c r="D113" t="s">
        <v>36</v>
      </c>
    </row>
    <row r="114" spans="1:4" x14ac:dyDescent="0.3">
      <c r="A114" t="s">
        <v>32</v>
      </c>
      <c r="B114" t="s">
        <v>18</v>
      </c>
      <c r="C114" t="s">
        <v>37</v>
      </c>
      <c r="D114" t="s">
        <v>11</v>
      </c>
    </row>
    <row r="115" spans="1:4" x14ac:dyDescent="0.3">
      <c r="A115" t="s">
        <v>32</v>
      </c>
      <c r="B115" t="s">
        <v>18</v>
      </c>
      <c r="C115" t="s">
        <v>37</v>
      </c>
      <c r="D115" t="s">
        <v>12</v>
      </c>
    </row>
    <row r="116" spans="1:4" x14ac:dyDescent="0.3">
      <c r="A116" t="s">
        <v>32</v>
      </c>
      <c r="B116" t="s">
        <v>20</v>
      </c>
      <c r="C116" t="s">
        <v>38</v>
      </c>
      <c r="D116" t="s">
        <v>9</v>
      </c>
    </row>
    <row r="117" spans="1:4" x14ac:dyDescent="0.3">
      <c r="A117" t="s">
        <v>32</v>
      </c>
      <c r="B117" t="s">
        <v>20</v>
      </c>
      <c r="C117" t="s">
        <v>38</v>
      </c>
      <c r="D117" t="s">
        <v>34</v>
      </c>
    </row>
    <row r="118" spans="1:4" x14ac:dyDescent="0.3">
      <c r="A118" t="s">
        <v>32</v>
      </c>
      <c r="B118" t="s">
        <v>20</v>
      </c>
      <c r="C118" t="s">
        <v>38</v>
      </c>
      <c r="D118" t="s">
        <v>35</v>
      </c>
    </row>
    <row r="119" spans="1:4" x14ac:dyDescent="0.3">
      <c r="A119" t="s">
        <v>32</v>
      </c>
      <c r="B119" t="s">
        <v>20</v>
      </c>
      <c r="C119" t="s">
        <v>38</v>
      </c>
      <c r="D119" t="s">
        <v>36</v>
      </c>
    </row>
    <row r="120" spans="1:4" x14ac:dyDescent="0.3">
      <c r="A120" t="s">
        <v>32</v>
      </c>
      <c r="B120" t="s">
        <v>20</v>
      </c>
      <c r="C120" t="s">
        <v>38</v>
      </c>
      <c r="D120" t="s">
        <v>11</v>
      </c>
    </row>
    <row r="121" spans="1:4" x14ac:dyDescent="0.3">
      <c r="A121" t="s">
        <v>32</v>
      </c>
      <c r="B121" t="s">
        <v>20</v>
      </c>
      <c r="C121" t="s">
        <v>38</v>
      </c>
      <c r="D121" t="s">
        <v>12</v>
      </c>
    </row>
    <row r="122" spans="1:4" x14ac:dyDescent="0.3">
      <c r="A122" t="s">
        <v>32</v>
      </c>
      <c r="B122" t="s">
        <v>22</v>
      </c>
      <c r="C122" t="s">
        <v>39</v>
      </c>
      <c r="D122" t="s">
        <v>9</v>
      </c>
    </row>
    <row r="123" spans="1:4" x14ac:dyDescent="0.3">
      <c r="A123" t="s">
        <v>32</v>
      </c>
      <c r="B123" t="s">
        <v>22</v>
      </c>
      <c r="C123" t="s">
        <v>39</v>
      </c>
      <c r="D123" t="s">
        <v>34</v>
      </c>
    </row>
    <row r="124" spans="1:4" x14ac:dyDescent="0.3">
      <c r="A124" t="s">
        <v>32</v>
      </c>
      <c r="B124" t="s">
        <v>22</v>
      </c>
      <c r="C124" t="s">
        <v>39</v>
      </c>
      <c r="D124" t="s">
        <v>35</v>
      </c>
    </row>
    <row r="125" spans="1:4" x14ac:dyDescent="0.3">
      <c r="A125" t="s">
        <v>32</v>
      </c>
      <c r="B125" t="s">
        <v>22</v>
      </c>
      <c r="C125" t="s">
        <v>39</v>
      </c>
      <c r="D125" t="s">
        <v>36</v>
      </c>
    </row>
    <row r="126" spans="1:4" x14ac:dyDescent="0.3">
      <c r="A126" t="s">
        <v>32</v>
      </c>
      <c r="B126" t="s">
        <v>22</v>
      </c>
      <c r="C126" t="s">
        <v>39</v>
      </c>
      <c r="D126" t="s">
        <v>11</v>
      </c>
    </row>
    <row r="127" spans="1:4" x14ac:dyDescent="0.3">
      <c r="A127" t="s">
        <v>32</v>
      </c>
      <c r="B127" t="s">
        <v>22</v>
      </c>
      <c r="C127" t="s">
        <v>39</v>
      </c>
      <c r="D12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A794-8873-43D6-A027-1749091B636F}">
  <dimension ref="A1:C22"/>
  <sheetViews>
    <sheetView workbookViewId="0">
      <selection activeCell="F10" sqref="F10"/>
    </sheetView>
  </sheetViews>
  <sheetFormatPr defaultRowHeight="14.4" x14ac:dyDescent="0.3"/>
  <cols>
    <col min="1" max="1" width="15.33203125" bestFit="1" customWidth="1"/>
    <col min="2" max="2" width="12.6640625" bestFit="1" customWidth="1"/>
    <col min="3" max="3" width="12.33203125" bestFit="1" customWidth="1"/>
  </cols>
  <sheetData>
    <row r="1" spans="1:3" x14ac:dyDescent="0.3">
      <c r="A1" s="11" t="s">
        <v>71</v>
      </c>
      <c r="B1" s="11" t="s">
        <v>72</v>
      </c>
      <c r="C1" s="11" t="s">
        <v>73</v>
      </c>
    </row>
    <row r="2" spans="1:3" x14ac:dyDescent="0.3">
      <c r="A2" s="12" t="s">
        <v>7</v>
      </c>
      <c r="B2" s="13" t="s">
        <v>74</v>
      </c>
      <c r="C2" s="14">
        <v>106</v>
      </c>
    </row>
    <row r="3" spans="1:3" x14ac:dyDescent="0.3">
      <c r="A3" s="15" t="s">
        <v>7</v>
      </c>
      <c r="B3" t="s">
        <v>75</v>
      </c>
      <c r="C3" s="16">
        <v>108</v>
      </c>
    </row>
    <row r="4" spans="1:3" x14ac:dyDescent="0.3">
      <c r="A4" s="17" t="s">
        <v>7</v>
      </c>
      <c r="B4" s="18" t="s">
        <v>76</v>
      </c>
      <c r="C4" s="19">
        <v>4</v>
      </c>
    </row>
    <row r="5" spans="1:3" x14ac:dyDescent="0.3">
      <c r="A5" s="12" t="s">
        <v>16</v>
      </c>
      <c r="B5" s="13" t="s">
        <v>74</v>
      </c>
      <c r="C5" s="14">
        <v>66</v>
      </c>
    </row>
    <row r="6" spans="1:3" x14ac:dyDescent="0.3">
      <c r="A6" s="15" t="s">
        <v>16</v>
      </c>
      <c r="B6" t="s">
        <v>75</v>
      </c>
      <c r="C6" s="16">
        <v>356</v>
      </c>
    </row>
    <row r="7" spans="1:3" x14ac:dyDescent="0.3">
      <c r="A7" s="17" t="s">
        <v>16</v>
      </c>
      <c r="B7" s="18" t="s">
        <v>76</v>
      </c>
      <c r="C7" s="19">
        <v>381</v>
      </c>
    </row>
    <row r="8" spans="1:3" x14ac:dyDescent="0.3">
      <c r="A8" s="12" t="s">
        <v>14</v>
      </c>
      <c r="B8" s="13" t="s">
        <v>74</v>
      </c>
      <c r="C8" s="14">
        <v>66</v>
      </c>
    </row>
    <row r="9" spans="1:3" x14ac:dyDescent="0.3">
      <c r="A9" s="15" t="s">
        <v>14</v>
      </c>
      <c r="B9" t="s">
        <v>75</v>
      </c>
      <c r="C9" s="16">
        <v>26</v>
      </c>
    </row>
    <row r="10" spans="1:3" x14ac:dyDescent="0.3">
      <c r="A10" s="17" t="s">
        <v>14</v>
      </c>
      <c r="B10" s="18" t="s">
        <v>76</v>
      </c>
      <c r="C10" s="19">
        <v>57</v>
      </c>
    </row>
    <row r="11" spans="1:3" x14ac:dyDescent="0.3">
      <c r="A11" s="12" t="s">
        <v>18</v>
      </c>
      <c r="B11" s="13" t="s">
        <v>74</v>
      </c>
      <c r="C11" s="14">
        <v>293</v>
      </c>
    </row>
    <row r="12" spans="1:3" x14ac:dyDescent="0.3">
      <c r="A12" s="15" t="s">
        <v>18</v>
      </c>
      <c r="B12" t="s">
        <v>75</v>
      </c>
      <c r="C12" s="16">
        <v>254</v>
      </c>
    </row>
    <row r="13" spans="1:3" x14ac:dyDescent="0.3">
      <c r="A13" s="17" t="s">
        <v>18</v>
      </c>
      <c r="B13" s="18" t="s">
        <v>76</v>
      </c>
      <c r="C13" s="19">
        <v>57</v>
      </c>
    </row>
    <row r="14" spans="1:3" x14ac:dyDescent="0.3">
      <c r="A14" s="12" t="s">
        <v>65</v>
      </c>
      <c r="B14" s="13" t="s">
        <v>74</v>
      </c>
      <c r="C14" s="14">
        <v>66</v>
      </c>
    </row>
    <row r="15" spans="1:3" x14ac:dyDescent="0.3">
      <c r="A15" s="15" t="s">
        <v>65</v>
      </c>
      <c r="B15" t="s">
        <v>75</v>
      </c>
      <c r="C15" s="16">
        <v>356</v>
      </c>
    </row>
    <row r="16" spans="1:3" x14ac:dyDescent="0.3">
      <c r="A16" s="17" t="s">
        <v>65</v>
      </c>
      <c r="B16" s="18" t="s">
        <v>76</v>
      </c>
      <c r="C16" s="19">
        <v>381</v>
      </c>
    </row>
    <row r="17" spans="1:3" x14ac:dyDescent="0.3">
      <c r="A17" s="12" t="s">
        <v>20</v>
      </c>
      <c r="B17" s="13" t="s">
        <v>74</v>
      </c>
      <c r="C17" s="14">
        <v>133.5</v>
      </c>
    </row>
    <row r="18" spans="1:3" x14ac:dyDescent="0.3">
      <c r="A18" s="15" t="s">
        <v>20</v>
      </c>
      <c r="B18" t="s">
        <v>75</v>
      </c>
      <c r="C18" s="16">
        <v>112</v>
      </c>
    </row>
    <row r="19" spans="1:3" x14ac:dyDescent="0.3">
      <c r="A19" s="17" t="s">
        <v>20</v>
      </c>
      <c r="B19" s="18" t="s">
        <v>76</v>
      </c>
      <c r="C19" s="19">
        <v>35.5</v>
      </c>
    </row>
    <row r="20" spans="1:3" x14ac:dyDescent="0.3">
      <c r="A20" s="12" t="s">
        <v>22</v>
      </c>
      <c r="B20" s="13" t="s">
        <v>74</v>
      </c>
      <c r="C20" s="14">
        <v>111</v>
      </c>
    </row>
    <row r="21" spans="1:3" x14ac:dyDescent="0.3">
      <c r="A21" s="15" t="s">
        <v>22</v>
      </c>
      <c r="B21" t="s">
        <v>75</v>
      </c>
      <c r="C21" s="16">
        <v>116</v>
      </c>
    </row>
    <row r="22" spans="1:3" x14ac:dyDescent="0.3">
      <c r="A22" s="17" t="s">
        <v>22</v>
      </c>
      <c r="B22" s="18" t="s">
        <v>76</v>
      </c>
      <c r="C22" s="19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7C27-4DA3-4DC0-BE20-62D49702D364}">
  <dimension ref="A1:Z58"/>
  <sheetViews>
    <sheetView topLeftCell="A22" zoomScale="70" zoomScaleNormal="70" workbookViewId="0">
      <selection activeCell="A33" sqref="A33:W55"/>
    </sheetView>
  </sheetViews>
  <sheetFormatPr defaultRowHeight="14.4" x14ac:dyDescent="0.3"/>
  <sheetData>
    <row r="1" spans="1:26" x14ac:dyDescent="0.3">
      <c r="A1" s="20" t="s">
        <v>77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8" x14ac:dyDescent="0.35">
      <c r="A4" s="22" t="s">
        <v>78</v>
      </c>
      <c r="B4" s="23"/>
      <c r="C4" s="23" t="s">
        <v>79</v>
      </c>
      <c r="D4" s="23" t="s">
        <v>80</v>
      </c>
      <c r="E4" s="23"/>
      <c r="F4" s="23" t="s">
        <v>81</v>
      </c>
      <c r="G4" s="23"/>
      <c r="H4" s="24" t="s">
        <v>82</v>
      </c>
      <c r="I4" s="24" t="s">
        <v>83</v>
      </c>
      <c r="J4" s="24" t="s">
        <v>84</v>
      </c>
      <c r="K4" s="24" t="s">
        <v>85</v>
      </c>
      <c r="L4" s="24" t="s">
        <v>86</v>
      </c>
      <c r="M4" s="24" t="s">
        <v>87</v>
      </c>
      <c r="N4" s="24" t="s">
        <v>88</v>
      </c>
      <c r="O4" s="24" t="s">
        <v>89</v>
      </c>
      <c r="P4" s="24" t="s">
        <v>90</v>
      </c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x14ac:dyDescent="0.3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3">
      <c r="A6" s="25" t="s">
        <v>9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3">
      <c r="A7" s="26" t="s">
        <v>91</v>
      </c>
      <c r="B7" s="26"/>
      <c r="C7" s="26">
        <v>2020</v>
      </c>
      <c r="D7" s="26">
        <v>2020</v>
      </c>
      <c r="E7" s="26">
        <v>2020</v>
      </c>
      <c r="F7" s="26">
        <v>2025</v>
      </c>
      <c r="G7" s="26">
        <v>2025</v>
      </c>
      <c r="H7" s="26">
        <v>2025</v>
      </c>
      <c r="I7" s="26">
        <v>2030</v>
      </c>
      <c r="J7" s="26">
        <v>2030</v>
      </c>
      <c r="K7" s="26">
        <v>2030</v>
      </c>
      <c r="L7" s="26">
        <v>2035</v>
      </c>
      <c r="M7" s="26">
        <v>2035</v>
      </c>
      <c r="N7" s="26">
        <v>2035</v>
      </c>
      <c r="O7" s="26">
        <v>2040</v>
      </c>
      <c r="P7" s="26">
        <v>2040</v>
      </c>
      <c r="Q7" s="26">
        <v>2040</v>
      </c>
      <c r="R7" s="26">
        <v>2045</v>
      </c>
      <c r="S7" s="26">
        <v>2045</v>
      </c>
      <c r="T7" s="26">
        <v>2045</v>
      </c>
      <c r="U7" s="26">
        <v>2050</v>
      </c>
      <c r="V7" s="26">
        <v>2050</v>
      </c>
      <c r="W7" s="26">
        <v>2050</v>
      </c>
      <c r="X7" s="21"/>
      <c r="Y7" s="21"/>
      <c r="Z7" s="21"/>
    </row>
    <row r="8" spans="1:26" x14ac:dyDescent="0.3">
      <c r="A8" s="26" t="s">
        <v>92</v>
      </c>
      <c r="B8" s="27"/>
      <c r="C8" s="27" t="s">
        <v>93</v>
      </c>
      <c r="D8" s="27" t="s">
        <v>94</v>
      </c>
      <c r="E8" s="27" t="s">
        <v>95</v>
      </c>
      <c r="F8" s="27" t="s">
        <v>93</v>
      </c>
      <c r="G8" s="27" t="s">
        <v>94</v>
      </c>
      <c r="H8" s="27" t="s">
        <v>95</v>
      </c>
      <c r="I8" s="27" t="s">
        <v>93</v>
      </c>
      <c r="J8" s="27" t="s">
        <v>94</v>
      </c>
      <c r="K8" s="27" t="s">
        <v>95</v>
      </c>
      <c r="L8" s="27" t="s">
        <v>93</v>
      </c>
      <c r="M8" s="27" t="s">
        <v>94</v>
      </c>
      <c r="N8" s="27" t="s">
        <v>95</v>
      </c>
      <c r="O8" s="27" t="s">
        <v>93</v>
      </c>
      <c r="P8" s="27" t="s">
        <v>94</v>
      </c>
      <c r="Q8" s="27" t="s">
        <v>95</v>
      </c>
      <c r="R8" s="27" t="s">
        <v>93</v>
      </c>
      <c r="S8" s="27" t="s">
        <v>94</v>
      </c>
      <c r="T8" s="27" t="s">
        <v>95</v>
      </c>
      <c r="U8" s="27" t="s">
        <v>93</v>
      </c>
      <c r="V8" s="27" t="s">
        <v>94</v>
      </c>
      <c r="W8" s="27" t="s">
        <v>95</v>
      </c>
      <c r="X8" s="21"/>
      <c r="Y8" s="21"/>
      <c r="Z8" s="21"/>
    </row>
    <row r="9" spans="1:26" x14ac:dyDescent="0.3">
      <c r="A9" s="26" t="s">
        <v>96</v>
      </c>
      <c r="B9" s="27" t="s">
        <v>97</v>
      </c>
      <c r="C9" s="28">
        <v>1.1872681653769124</v>
      </c>
      <c r="D9" s="28">
        <v>1.2767928712592653</v>
      </c>
      <c r="E9" s="28">
        <v>1.3663175771416181</v>
      </c>
      <c r="F9" s="28">
        <v>1.1867881653769121</v>
      </c>
      <c r="G9" s="28">
        <v>1.2763128712592651</v>
      </c>
      <c r="H9" s="28">
        <v>1.3658375771416182</v>
      </c>
      <c r="I9" s="28">
        <v>1.1864681653769125</v>
      </c>
      <c r="J9" s="28">
        <v>1.2759928712592652</v>
      </c>
      <c r="K9" s="28">
        <v>1.3655175771416179</v>
      </c>
      <c r="L9" s="28">
        <v>1.1862281653769122</v>
      </c>
      <c r="M9" s="28">
        <v>1.2757528712592652</v>
      </c>
      <c r="N9" s="28">
        <v>1.3652775771416181</v>
      </c>
      <c r="O9" s="28">
        <v>1.1860281653769122</v>
      </c>
      <c r="P9" s="28">
        <v>1.2755528712592652</v>
      </c>
      <c r="Q9" s="28">
        <v>1.3650775771416181</v>
      </c>
      <c r="R9" s="28">
        <v>1.1858441653769123</v>
      </c>
      <c r="S9" s="28">
        <v>1.2753688712592655</v>
      </c>
      <c r="T9" s="28">
        <v>1.3648935771416182</v>
      </c>
      <c r="U9" s="28">
        <v>1.1856681653769123</v>
      </c>
      <c r="V9" s="28">
        <v>1.2751928712592653</v>
      </c>
      <c r="W9" s="28">
        <v>1.364717577141618</v>
      </c>
      <c r="X9" s="21"/>
      <c r="Y9" s="21"/>
      <c r="Z9" s="21"/>
    </row>
    <row r="10" spans="1:26" x14ac:dyDescent="0.3">
      <c r="A10" s="26" t="s">
        <v>98</v>
      </c>
      <c r="B10" s="26" t="s">
        <v>99</v>
      </c>
      <c r="C10" s="29">
        <v>4.7490726615076494E-2</v>
      </c>
      <c r="D10" s="29">
        <v>5.1071714850370611E-2</v>
      </c>
      <c r="E10" s="29">
        <v>5.4652703085664722E-2</v>
      </c>
      <c r="F10" s="29">
        <v>4.7471526615076483E-2</v>
      </c>
      <c r="G10" s="29">
        <v>5.1052514850370601E-2</v>
      </c>
      <c r="H10" s="29">
        <v>5.4633503085664732E-2</v>
      </c>
      <c r="I10" s="29">
        <v>4.7458726615076496E-2</v>
      </c>
      <c r="J10" s="29">
        <v>5.1039714850370607E-2</v>
      </c>
      <c r="K10" s="29">
        <v>5.4620703085664718E-2</v>
      </c>
      <c r="L10" s="29">
        <v>4.7449126615076491E-2</v>
      </c>
      <c r="M10" s="29">
        <v>5.1030114850370609E-2</v>
      </c>
      <c r="N10" s="29">
        <v>5.4611103085664726E-2</v>
      </c>
      <c r="O10" s="29">
        <v>4.744112661507649E-2</v>
      </c>
      <c r="P10" s="29">
        <v>5.1022114850370608E-2</v>
      </c>
      <c r="Q10" s="29">
        <v>5.4603103085664725E-2</v>
      </c>
      <c r="R10" s="29">
        <v>4.7433766615076492E-2</v>
      </c>
      <c r="S10" s="29">
        <v>5.1014754850370617E-2</v>
      </c>
      <c r="T10" s="29">
        <v>5.4595743085664727E-2</v>
      </c>
      <c r="U10" s="29">
        <v>4.7426726615076492E-2</v>
      </c>
      <c r="V10" s="29">
        <v>5.100771485037061E-2</v>
      </c>
      <c r="W10" s="29">
        <v>5.4588703085664721E-2</v>
      </c>
      <c r="X10" s="21"/>
      <c r="Y10" s="21"/>
      <c r="Z10" s="21"/>
    </row>
    <row r="11" spans="1:26" x14ac:dyDescent="0.3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3">
      <c r="A12" s="25" t="s">
        <v>100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3">
      <c r="A13" s="26" t="s">
        <v>91</v>
      </c>
      <c r="B13" s="26"/>
      <c r="C13" s="26">
        <v>2020</v>
      </c>
      <c r="D13" s="26">
        <v>2020</v>
      </c>
      <c r="E13" s="26">
        <v>2020</v>
      </c>
      <c r="F13" s="26">
        <v>2025</v>
      </c>
      <c r="G13" s="26">
        <v>2025</v>
      </c>
      <c r="H13" s="26">
        <v>2025</v>
      </c>
      <c r="I13" s="26">
        <v>2030</v>
      </c>
      <c r="J13" s="26">
        <v>2030</v>
      </c>
      <c r="K13" s="26">
        <v>2030</v>
      </c>
      <c r="L13" s="26">
        <v>2035</v>
      </c>
      <c r="M13" s="26">
        <v>2035</v>
      </c>
      <c r="N13" s="26">
        <v>2035</v>
      </c>
      <c r="O13" s="26">
        <v>2040</v>
      </c>
      <c r="P13" s="26">
        <v>2040</v>
      </c>
      <c r="Q13" s="26">
        <v>2040</v>
      </c>
      <c r="R13" s="26">
        <v>2045</v>
      </c>
      <c r="S13" s="26">
        <v>2045</v>
      </c>
      <c r="T13" s="26">
        <v>2045</v>
      </c>
      <c r="U13" s="26">
        <v>2050</v>
      </c>
      <c r="V13" s="26">
        <v>2050</v>
      </c>
      <c r="W13" s="26">
        <v>2050</v>
      </c>
      <c r="X13" s="21"/>
      <c r="Y13" s="21"/>
      <c r="Z13" s="21"/>
    </row>
    <row r="14" spans="1:26" x14ac:dyDescent="0.3">
      <c r="A14" s="26" t="s">
        <v>92</v>
      </c>
      <c r="B14" s="26"/>
      <c r="C14" s="26" t="s">
        <v>93</v>
      </c>
      <c r="D14" s="26" t="s">
        <v>94</v>
      </c>
      <c r="E14" s="26" t="s">
        <v>95</v>
      </c>
      <c r="F14" s="26" t="s">
        <v>93</v>
      </c>
      <c r="G14" s="26" t="s">
        <v>94</v>
      </c>
      <c r="H14" s="26" t="s">
        <v>95</v>
      </c>
      <c r="I14" s="26" t="s">
        <v>93</v>
      </c>
      <c r="J14" s="26" t="s">
        <v>94</v>
      </c>
      <c r="K14" s="26" t="s">
        <v>95</v>
      </c>
      <c r="L14" s="26" t="s">
        <v>93</v>
      </c>
      <c r="M14" s="26" t="s">
        <v>94</v>
      </c>
      <c r="N14" s="26" t="s">
        <v>95</v>
      </c>
      <c r="O14" s="26" t="s">
        <v>93</v>
      </c>
      <c r="P14" s="26" t="s">
        <v>94</v>
      </c>
      <c r="Q14" s="26" t="s">
        <v>95</v>
      </c>
      <c r="R14" s="26" t="s">
        <v>93</v>
      </c>
      <c r="S14" s="26" t="s">
        <v>94</v>
      </c>
      <c r="T14" s="26" t="s">
        <v>95</v>
      </c>
      <c r="U14" s="26" t="s">
        <v>93</v>
      </c>
      <c r="V14" s="26" t="s">
        <v>94</v>
      </c>
      <c r="W14" s="26" t="s">
        <v>95</v>
      </c>
      <c r="X14" s="21"/>
      <c r="Y14" s="21"/>
      <c r="Z14" s="21"/>
    </row>
    <row r="15" spans="1:26" x14ac:dyDescent="0.3">
      <c r="A15" s="26" t="s">
        <v>96</v>
      </c>
      <c r="B15" s="26" t="s">
        <v>97</v>
      </c>
      <c r="C15" s="29">
        <v>1.8772585620441018</v>
      </c>
      <c r="D15" s="29">
        <v>2.1213845775913618</v>
      </c>
      <c r="E15" s="29">
        <v>2.4230003977804668</v>
      </c>
      <c r="F15" s="29">
        <v>1.6424248035136633</v>
      </c>
      <c r="G15" s="29">
        <v>1.8539131909777176</v>
      </c>
      <c r="H15" s="29">
        <v>2.1446217633368887</v>
      </c>
      <c r="I15" s="29">
        <v>1.4577860362483208</v>
      </c>
      <c r="J15" s="29">
        <v>1.6422220976950082</v>
      </c>
      <c r="K15" s="29">
        <v>1.915220503469941</v>
      </c>
      <c r="L15" s="29">
        <v>1.3397174947552868</v>
      </c>
      <c r="M15" s="29">
        <v>1.4955046571342974</v>
      </c>
      <c r="N15" s="29">
        <v>1.7424066487568897</v>
      </c>
      <c r="O15" s="29">
        <v>1.271585429774855</v>
      </c>
      <c r="P15" s="29">
        <v>1.4378216218112176</v>
      </c>
      <c r="Q15" s="29">
        <v>1.6363156425442538</v>
      </c>
      <c r="R15" s="29">
        <v>1.243747006516891</v>
      </c>
      <c r="S15" s="29">
        <v>1.4011312462807095</v>
      </c>
      <c r="T15" s="29">
        <v>1.5762335643730945</v>
      </c>
      <c r="U15" s="29">
        <v>1.2260982820834463</v>
      </c>
      <c r="V15" s="29">
        <v>1.3759969700023786</v>
      </c>
      <c r="W15" s="29">
        <v>1.5401355522729085</v>
      </c>
      <c r="X15" s="21"/>
      <c r="Y15" s="21"/>
      <c r="Z15" s="21"/>
    </row>
    <row r="16" spans="1:26" x14ac:dyDescent="0.3">
      <c r="A16" s="26" t="s">
        <v>98</v>
      </c>
      <c r="B16" s="26" t="s">
        <v>99</v>
      </c>
      <c r="C16" s="29">
        <v>7.5090342481764077E-2</v>
      </c>
      <c r="D16" s="29">
        <v>8.4855383103654466E-2</v>
      </c>
      <c r="E16" s="29">
        <v>9.6920015911218668E-2</v>
      </c>
      <c r="F16" s="29">
        <v>6.5696992140546528E-2</v>
      </c>
      <c r="G16" s="29">
        <v>7.4156527639108696E-2</v>
      </c>
      <c r="H16" s="29">
        <v>8.5784870533475555E-2</v>
      </c>
      <c r="I16" s="29">
        <v>5.8311441449932833E-2</v>
      </c>
      <c r="J16" s="29">
        <v>6.5688883907800324E-2</v>
      </c>
      <c r="K16" s="29">
        <v>7.6608820138797634E-2</v>
      </c>
      <c r="L16" s="29">
        <v>5.3588699790211469E-2</v>
      </c>
      <c r="M16" s="29">
        <v>5.9820186285371897E-2</v>
      </c>
      <c r="N16" s="29">
        <v>6.9696265950275588E-2</v>
      </c>
      <c r="O16" s="29">
        <v>5.0863417190994201E-2</v>
      </c>
      <c r="P16" s="29">
        <v>5.7512864872448707E-2</v>
      </c>
      <c r="Q16" s="29">
        <v>6.5452625701770156E-2</v>
      </c>
      <c r="R16" s="29">
        <v>4.9749880260675637E-2</v>
      </c>
      <c r="S16" s="29">
        <v>5.6045249851228378E-2</v>
      </c>
      <c r="T16" s="29">
        <v>6.3049342574923783E-2</v>
      </c>
      <c r="U16" s="29">
        <v>4.9043931283337852E-2</v>
      </c>
      <c r="V16" s="29">
        <v>5.5039878800095143E-2</v>
      </c>
      <c r="W16" s="29">
        <v>6.1605422090916344E-2</v>
      </c>
      <c r="X16" s="21"/>
      <c r="Y16" s="21"/>
      <c r="Z16" s="21"/>
    </row>
    <row r="17" spans="1:26" x14ac:dyDescent="0.3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3">
      <c r="A18" s="25" t="s">
        <v>101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3">
      <c r="A19" s="26" t="s">
        <v>91</v>
      </c>
      <c r="B19" s="26"/>
      <c r="C19" s="26">
        <v>2020</v>
      </c>
      <c r="D19" s="26">
        <v>2020</v>
      </c>
      <c r="E19" s="26">
        <v>2020</v>
      </c>
      <c r="F19" s="26">
        <v>2025</v>
      </c>
      <c r="G19" s="26">
        <v>2025</v>
      </c>
      <c r="H19" s="26">
        <v>2025</v>
      </c>
      <c r="I19" s="26">
        <v>2030</v>
      </c>
      <c r="J19" s="26">
        <v>2030</v>
      </c>
      <c r="K19" s="26">
        <v>2030</v>
      </c>
      <c r="L19" s="26">
        <v>2035</v>
      </c>
      <c r="M19" s="26">
        <v>2035</v>
      </c>
      <c r="N19" s="26">
        <v>2035</v>
      </c>
      <c r="O19" s="26">
        <v>2040</v>
      </c>
      <c r="P19" s="26">
        <v>2040</v>
      </c>
      <c r="Q19" s="26">
        <v>2040</v>
      </c>
      <c r="R19" s="26">
        <v>2045</v>
      </c>
      <c r="S19" s="26">
        <v>2045</v>
      </c>
      <c r="T19" s="26">
        <v>2045</v>
      </c>
      <c r="U19" s="26">
        <v>2050</v>
      </c>
      <c r="V19" s="26">
        <v>2050</v>
      </c>
      <c r="W19" s="26">
        <v>2050</v>
      </c>
      <c r="X19" s="21"/>
      <c r="Y19" s="21"/>
      <c r="Z19" s="21"/>
    </row>
    <row r="20" spans="1:26" x14ac:dyDescent="0.3">
      <c r="A20" s="26" t="s">
        <v>92</v>
      </c>
      <c r="B20" s="26"/>
      <c r="C20" s="26" t="s">
        <v>93</v>
      </c>
      <c r="D20" s="26" t="s">
        <v>94</v>
      </c>
      <c r="E20" s="26" t="s">
        <v>95</v>
      </c>
      <c r="F20" s="26" t="s">
        <v>93</v>
      </c>
      <c r="G20" s="26" t="s">
        <v>94</v>
      </c>
      <c r="H20" s="26" t="s">
        <v>95</v>
      </c>
      <c r="I20" s="26" t="s">
        <v>93</v>
      </c>
      <c r="J20" s="26" t="s">
        <v>94</v>
      </c>
      <c r="K20" s="26" t="s">
        <v>95</v>
      </c>
      <c r="L20" s="26" t="s">
        <v>93</v>
      </c>
      <c r="M20" s="26" t="s">
        <v>94</v>
      </c>
      <c r="N20" s="26" t="s">
        <v>95</v>
      </c>
      <c r="O20" s="26" t="s">
        <v>93</v>
      </c>
      <c r="P20" s="26" t="s">
        <v>94</v>
      </c>
      <c r="Q20" s="26" t="s">
        <v>95</v>
      </c>
      <c r="R20" s="26" t="s">
        <v>93</v>
      </c>
      <c r="S20" s="26" t="s">
        <v>94</v>
      </c>
      <c r="T20" s="26" t="s">
        <v>95</v>
      </c>
      <c r="U20" s="26" t="s">
        <v>93</v>
      </c>
      <c r="V20" s="26" t="s">
        <v>94</v>
      </c>
      <c r="W20" s="26" t="s">
        <v>95</v>
      </c>
      <c r="X20" s="21"/>
      <c r="Y20" s="21"/>
      <c r="Z20" s="21"/>
    </row>
    <row r="21" spans="1:26" x14ac:dyDescent="0.3">
      <c r="A21" s="26" t="s">
        <v>96</v>
      </c>
      <c r="B21" s="26" t="s">
        <v>97</v>
      </c>
      <c r="C21" s="29">
        <v>1.9128815567439508</v>
      </c>
      <c r="D21" s="29">
        <v>2.1937387804084145</v>
      </c>
      <c r="E21" s="29">
        <v>2.529385996214589</v>
      </c>
      <c r="F21" s="29">
        <v>1.6208091997743965</v>
      </c>
      <c r="G21" s="29">
        <v>1.8635831400519962</v>
      </c>
      <c r="H21" s="29">
        <v>2.1701285576170739</v>
      </c>
      <c r="I21" s="29">
        <v>1.4677112365014715</v>
      </c>
      <c r="J21" s="29">
        <v>1.6846665595885915</v>
      </c>
      <c r="K21" s="29">
        <v>1.964113668913618</v>
      </c>
      <c r="L21" s="29">
        <v>1.3956295203622107</v>
      </c>
      <c r="M21" s="29">
        <v>1.587752224593614</v>
      </c>
      <c r="N21" s="29">
        <v>1.8426136504945765</v>
      </c>
      <c r="O21" s="29">
        <v>1.3499194767808804</v>
      </c>
      <c r="P21" s="29">
        <v>1.5271776831432882</v>
      </c>
      <c r="Q21" s="29">
        <v>1.7583838908307985</v>
      </c>
      <c r="R21" s="29">
        <v>1.3225218907767651</v>
      </c>
      <c r="S21" s="29">
        <v>1.4827240084814306</v>
      </c>
      <c r="T21" s="29">
        <v>1.6935571666533589</v>
      </c>
      <c r="U21" s="29">
        <v>1.3013496163623921</v>
      </c>
      <c r="V21" s="29">
        <v>1.4462779141014377</v>
      </c>
      <c r="W21" s="29">
        <v>1.6366949208880623</v>
      </c>
      <c r="X21" s="21"/>
      <c r="Y21" s="21"/>
      <c r="Z21" s="21"/>
    </row>
    <row r="22" spans="1:26" x14ac:dyDescent="0.3">
      <c r="A22" s="26" t="s">
        <v>98</v>
      </c>
      <c r="B22" s="26" t="s">
        <v>99</v>
      </c>
      <c r="C22" s="29">
        <v>7.6515262269758036E-2</v>
      </c>
      <c r="D22" s="29">
        <v>8.7749551216336583E-2</v>
      </c>
      <c r="E22" s="29">
        <v>0.10117543984858356</v>
      </c>
      <c r="F22" s="29">
        <v>6.4832367990975859E-2</v>
      </c>
      <c r="G22" s="29">
        <v>7.4543325602079852E-2</v>
      </c>
      <c r="H22" s="29">
        <v>8.6805142304682961E-2</v>
      </c>
      <c r="I22" s="29">
        <v>5.8708449460058862E-2</v>
      </c>
      <c r="J22" s="29">
        <v>6.7386662383543655E-2</v>
      </c>
      <c r="K22" s="29">
        <v>7.8564546756544729E-2</v>
      </c>
      <c r="L22" s="29">
        <v>5.5825180814488423E-2</v>
      </c>
      <c r="M22" s="29">
        <v>6.3510088983744564E-2</v>
      </c>
      <c r="N22" s="29">
        <v>7.370454601978306E-2</v>
      </c>
      <c r="O22" s="29">
        <v>5.3996779071235214E-2</v>
      </c>
      <c r="P22" s="29">
        <v>6.1087107325731527E-2</v>
      </c>
      <c r="Q22" s="29">
        <v>7.0335355633231941E-2</v>
      </c>
      <c r="R22" s="29">
        <v>5.2900875631070605E-2</v>
      </c>
      <c r="S22" s="29">
        <v>5.9308960339257227E-2</v>
      </c>
      <c r="T22" s="29">
        <v>6.7742286666134355E-2</v>
      </c>
      <c r="U22" s="29">
        <v>5.2053984654495684E-2</v>
      </c>
      <c r="V22" s="29">
        <v>5.785111656405751E-2</v>
      </c>
      <c r="W22" s="29">
        <v>6.5467796835522493E-2</v>
      </c>
      <c r="X22" s="21"/>
      <c r="Y22" s="21"/>
      <c r="Z22" s="21"/>
    </row>
    <row r="23" spans="1:26" x14ac:dyDescent="0.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3">
      <c r="A24" s="25" t="s">
        <v>102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3">
      <c r="A25" s="26"/>
      <c r="B25" s="26"/>
      <c r="C25" s="26">
        <v>2020</v>
      </c>
      <c r="D25" s="26">
        <v>2020</v>
      </c>
      <c r="E25" s="26">
        <v>2020</v>
      </c>
      <c r="F25" s="26">
        <v>2025</v>
      </c>
      <c r="G25" s="26">
        <v>2025</v>
      </c>
      <c r="H25" s="26">
        <v>2025</v>
      </c>
      <c r="I25" s="26">
        <v>2030</v>
      </c>
      <c r="J25" s="26">
        <v>2030</v>
      </c>
      <c r="K25" s="26">
        <v>2030</v>
      </c>
      <c r="L25" s="26">
        <v>2035</v>
      </c>
      <c r="M25" s="26">
        <v>2035</v>
      </c>
      <c r="N25" s="26">
        <v>2035</v>
      </c>
      <c r="O25" s="26">
        <v>2040</v>
      </c>
      <c r="P25" s="26">
        <v>2040</v>
      </c>
      <c r="Q25" s="26">
        <v>2040</v>
      </c>
      <c r="R25" s="26">
        <v>2045</v>
      </c>
      <c r="S25" s="26">
        <v>2045</v>
      </c>
      <c r="T25" s="26">
        <v>2045</v>
      </c>
      <c r="U25" s="26">
        <v>2050</v>
      </c>
      <c r="V25" s="26">
        <v>2050</v>
      </c>
      <c r="W25" s="26">
        <v>2050</v>
      </c>
      <c r="X25" s="21"/>
      <c r="Y25" s="21"/>
      <c r="Z25" s="21"/>
    </row>
    <row r="26" spans="1:26" x14ac:dyDescent="0.3">
      <c r="A26" s="26"/>
      <c r="B26" s="26"/>
      <c r="C26" s="26" t="s">
        <v>93</v>
      </c>
      <c r="D26" s="26" t="s">
        <v>94</v>
      </c>
      <c r="E26" s="26" t="s">
        <v>95</v>
      </c>
      <c r="F26" s="26" t="s">
        <v>93</v>
      </c>
      <c r="G26" s="26" t="s">
        <v>94</v>
      </c>
      <c r="H26" s="26" t="s">
        <v>95</v>
      </c>
      <c r="I26" s="26" t="s">
        <v>93</v>
      </c>
      <c r="J26" s="26" t="s">
        <v>94</v>
      </c>
      <c r="K26" s="26" t="s">
        <v>95</v>
      </c>
      <c r="L26" s="26" t="s">
        <v>93</v>
      </c>
      <c r="M26" s="26" t="s">
        <v>94</v>
      </c>
      <c r="N26" s="26" t="s">
        <v>95</v>
      </c>
      <c r="O26" s="26" t="s">
        <v>93</v>
      </c>
      <c r="P26" s="26" t="s">
        <v>94</v>
      </c>
      <c r="Q26" s="26" t="s">
        <v>95</v>
      </c>
      <c r="R26" s="26" t="s">
        <v>93</v>
      </c>
      <c r="S26" s="26" t="s">
        <v>94</v>
      </c>
      <c r="T26" s="26" t="s">
        <v>95</v>
      </c>
      <c r="U26" s="26" t="s">
        <v>93</v>
      </c>
      <c r="V26" s="26" t="s">
        <v>94</v>
      </c>
      <c r="W26" s="26" t="s">
        <v>95</v>
      </c>
      <c r="X26" s="21"/>
      <c r="Y26" s="21"/>
      <c r="Z26" s="21"/>
    </row>
    <row r="27" spans="1:26" x14ac:dyDescent="0.3">
      <c r="A27" s="26" t="s">
        <v>103</v>
      </c>
      <c r="B27" s="26" t="s">
        <v>97</v>
      </c>
      <c r="C27" s="29">
        <v>1.7730814709196963E-2</v>
      </c>
      <c r="D27" s="29">
        <v>1.7730814709196963E-2</v>
      </c>
      <c r="E27" s="29">
        <v>1.7730814709196963E-2</v>
      </c>
      <c r="F27" s="29">
        <v>1.7730814709196963E-2</v>
      </c>
      <c r="G27" s="29">
        <v>1.7730814709196963E-2</v>
      </c>
      <c r="H27" s="29">
        <v>1.7730814709196963E-2</v>
      </c>
      <c r="I27" s="29">
        <v>1.7730814709196963E-2</v>
      </c>
      <c r="J27" s="29">
        <v>1.7730814709196963E-2</v>
      </c>
      <c r="K27" s="29">
        <v>1.7730814709196963E-2</v>
      </c>
      <c r="L27" s="29">
        <v>1.7730814709196963E-2</v>
      </c>
      <c r="M27" s="29">
        <v>1.7730814709196963E-2</v>
      </c>
      <c r="N27" s="29">
        <v>1.7730814709196963E-2</v>
      </c>
      <c r="O27" s="29">
        <v>1.7730814709196963E-2</v>
      </c>
      <c r="P27" s="29">
        <v>1.7730814709196963E-2</v>
      </c>
      <c r="Q27" s="29">
        <v>1.7730814709196963E-2</v>
      </c>
      <c r="R27" s="29">
        <v>1.7730814709196963E-2</v>
      </c>
      <c r="S27" s="29">
        <v>1.7730814709196963E-2</v>
      </c>
      <c r="T27" s="29">
        <v>1.7730814709196963E-2</v>
      </c>
      <c r="U27" s="29">
        <v>1.7730814709196963E-2</v>
      </c>
      <c r="V27" s="29">
        <v>1.7730814709196963E-2</v>
      </c>
      <c r="W27" s="29">
        <v>1.7730814709196963E-2</v>
      </c>
      <c r="X27" s="21"/>
      <c r="Y27" s="21"/>
      <c r="Z27" s="21"/>
    </row>
    <row r="28" spans="1:26" x14ac:dyDescent="0.3">
      <c r="A28" s="26" t="s">
        <v>104</v>
      </c>
      <c r="B28" s="26" t="s">
        <v>97</v>
      </c>
      <c r="C28" s="30">
        <v>6.6870501188971421E-2</v>
      </c>
      <c r="D28" s="26">
        <v>7.0669961483799351E-2</v>
      </c>
      <c r="E28" s="26">
        <v>7.4469421778627254E-2</v>
      </c>
      <c r="F28" s="26">
        <v>6.0568463046616818E-2</v>
      </c>
      <c r="G28" s="26">
        <v>6.42564725061298E-2</v>
      </c>
      <c r="H28" s="26">
        <v>6.7731712189132404E-2</v>
      </c>
      <c r="I28" s="26">
        <v>4.5823074264080901E-2</v>
      </c>
      <c r="J28" s="26">
        <v>4.8759740450291647E-2</v>
      </c>
      <c r="K28" s="26">
        <v>5.1557884646586789E-2</v>
      </c>
      <c r="L28" s="26">
        <v>3.375112729350669E-2</v>
      </c>
      <c r="M28" s="26">
        <v>3.5837105494588684E-2</v>
      </c>
      <c r="N28" s="26">
        <v>3.7923083695670677E-2</v>
      </c>
      <c r="O28" s="26">
        <v>2.3700188994626607E-2</v>
      </c>
      <c r="P28" s="26">
        <v>2.5030000097816377E-2</v>
      </c>
      <c r="Q28" s="26">
        <v>2.6492792311325127E-2</v>
      </c>
      <c r="R28" s="26">
        <v>2.228483448713808E-2</v>
      </c>
      <c r="S28" s="26">
        <v>2.3516659509040184E-2</v>
      </c>
      <c r="T28" s="26">
        <v>2.4832472600617432E-2</v>
      </c>
      <c r="U28" s="26">
        <v>2.1011015430398402E-2</v>
      </c>
      <c r="V28" s="26">
        <v>2.2340826533588171E-2</v>
      </c>
      <c r="W28" s="26">
        <v>2.3670637636777948E-2</v>
      </c>
      <c r="X28" s="21"/>
      <c r="Y28" s="21"/>
      <c r="Z28" s="21"/>
    </row>
    <row r="29" spans="1:26" x14ac:dyDescent="0.3">
      <c r="A29" s="26" t="s">
        <v>105</v>
      </c>
      <c r="B29" s="26" t="s">
        <v>97</v>
      </c>
      <c r="C29" s="29">
        <v>1.7730814709196963E-2</v>
      </c>
      <c r="D29" s="29">
        <v>1.7730814709196963E-2</v>
      </c>
      <c r="E29" s="29">
        <v>1.7730814709196963E-2</v>
      </c>
      <c r="F29" s="29">
        <v>1.7730814709196963E-2</v>
      </c>
      <c r="G29" s="29">
        <v>1.7730814709196963E-2</v>
      </c>
      <c r="H29" s="29">
        <v>1.7730814709196963E-2</v>
      </c>
      <c r="I29" s="29">
        <v>1.7730814709196963E-2</v>
      </c>
      <c r="J29" s="29">
        <v>1.7730814709196963E-2</v>
      </c>
      <c r="K29" s="29">
        <v>1.7730814709196963E-2</v>
      </c>
      <c r="L29" s="29">
        <v>1.7730814709196963E-2</v>
      </c>
      <c r="M29" s="29">
        <v>1.7730814709196963E-2</v>
      </c>
      <c r="N29" s="29">
        <v>1.7730814709196963E-2</v>
      </c>
      <c r="O29" s="29">
        <v>1.7730814709196963E-2</v>
      </c>
      <c r="P29" s="29">
        <v>1.7730814709196963E-2</v>
      </c>
      <c r="Q29" s="29">
        <v>1.7730814709196963E-2</v>
      </c>
      <c r="R29" s="29">
        <v>1.7730814709196963E-2</v>
      </c>
      <c r="S29" s="29">
        <v>1.7730814709196963E-2</v>
      </c>
      <c r="T29" s="29">
        <v>1.7730814709196963E-2</v>
      </c>
      <c r="U29" s="29">
        <v>1.7730814709196963E-2</v>
      </c>
      <c r="V29" s="29">
        <v>1.7730814709196963E-2</v>
      </c>
      <c r="W29" s="29">
        <v>1.7730814709196963E-2</v>
      </c>
      <c r="X29" s="21"/>
      <c r="Y29" s="21"/>
      <c r="Z29" s="21"/>
    </row>
    <row r="30" spans="1:26" x14ac:dyDescent="0.3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8" x14ac:dyDescent="0.35">
      <c r="A32" s="22" t="s">
        <v>106</v>
      </c>
      <c r="B32" s="23"/>
      <c r="C32" s="23"/>
      <c r="D32" s="23" t="s">
        <v>107</v>
      </c>
      <c r="E32" s="23"/>
      <c r="F32" s="23" t="s">
        <v>108</v>
      </c>
      <c r="G32" s="23"/>
      <c r="H32" s="23" t="s">
        <v>81</v>
      </c>
      <c r="I32" s="23"/>
      <c r="J32" s="24" t="s">
        <v>109</v>
      </c>
      <c r="K32" s="24" t="s">
        <v>110</v>
      </c>
      <c r="L32" s="24" t="s">
        <v>111</v>
      </c>
      <c r="M32" s="24" t="s">
        <v>112</v>
      </c>
      <c r="N32" s="24" t="s">
        <v>87</v>
      </c>
      <c r="O32" s="24" t="s">
        <v>113</v>
      </c>
      <c r="P32" s="24" t="s">
        <v>114</v>
      </c>
      <c r="Q32" s="24" t="s">
        <v>115</v>
      </c>
      <c r="R32" s="24" t="s">
        <v>116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3">
      <c r="A33" s="25" t="s">
        <v>117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3">
      <c r="A34" s="26" t="s">
        <v>91</v>
      </c>
      <c r="B34" s="26"/>
      <c r="C34" s="26">
        <v>2020</v>
      </c>
      <c r="D34" s="26">
        <v>2020</v>
      </c>
      <c r="E34" s="26">
        <v>2020</v>
      </c>
      <c r="F34" s="26">
        <v>2025</v>
      </c>
      <c r="G34" s="26">
        <v>2025</v>
      </c>
      <c r="H34" s="26">
        <v>2025</v>
      </c>
      <c r="I34" s="26">
        <v>2030</v>
      </c>
      <c r="J34" s="26">
        <v>2030</v>
      </c>
      <c r="K34" s="26">
        <v>2030</v>
      </c>
      <c r="L34" s="26">
        <v>2035</v>
      </c>
      <c r="M34" s="26">
        <v>2035</v>
      </c>
      <c r="N34" s="26">
        <v>2035</v>
      </c>
      <c r="O34" s="26">
        <v>2040</v>
      </c>
      <c r="P34" s="26">
        <v>2040</v>
      </c>
      <c r="Q34" s="26">
        <v>2040</v>
      </c>
      <c r="R34" s="26">
        <v>2045</v>
      </c>
      <c r="S34" s="26">
        <v>2045</v>
      </c>
      <c r="T34" s="26">
        <v>2045</v>
      </c>
      <c r="U34" s="26">
        <v>2050</v>
      </c>
      <c r="V34" s="26">
        <v>2050</v>
      </c>
      <c r="W34" s="26">
        <v>2050</v>
      </c>
      <c r="X34" s="21"/>
      <c r="Y34" s="21"/>
      <c r="Z34" s="21"/>
    </row>
    <row r="35" spans="1:26" x14ac:dyDescent="0.3">
      <c r="A35" s="26" t="s">
        <v>92</v>
      </c>
      <c r="B35" s="26"/>
      <c r="C35" s="26" t="s">
        <v>93</v>
      </c>
      <c r="D35" s="26" t="s">
        <v>94</v>
      </c>
      <c r="E35" s="26" t="s">
        <v>95</v>
      </c>
      <c r="F35" s="26" t="s">
        <v>93</v>
      </c>
      <c r="G35" s="26" t="s">
        <v>94</v>
      </c>
      <c r="H35" s="26" t="s">
        <v>95</v>
      </c>
      <c r="I35" s="26" t="s">
        <v>93</v>
      </c>
      <c r="J35" s="26" t="s">
        <v>94</v>
      </c>
      <c r="K35" s="26" t="s">
        <v>95</v>
      </c>
      <c r="L35" s="26" t="s">
        <v>93</v>
      </c>
      <c r="M35" s="26" t="s">
        <v>94</v>
      </c>
      <c r="N35" s="26" t="s">
        <v>95</v>
      </c>
      <c r="O35" s="26" t="s">
        <v>93</v>
      </c>
      <c r="P35" s="26" t="s">
        <v>94</v>
      </c>
      <c r="Q35" s="26" t="s">
        <v>95</v>
      </c>
      <c r="R35" s="26" t="s">
        <v>93</v>
      </c>
      <c r="S35" s="26" t="s">
        <v>94</v>
      </c>
      <c r="T35" s="26" t="s">
        <v>95</v>
      </c>
      <c r="U35" s="26" t="s">
        <v>93</v>
      </c>
      <c r="V35" s="26" t="s">
        <v>94</v>
      </c>
      <c r="W35" s="26" t="s">
        <v>95</v>
      </c>
      <c r="X35" s="21"/>
      <c r="Y35" s="21"/>
      <c r="Z35" s="21"/>
    </row>
    <row r="36" spans="1:26" x14ac:dyDescent="0.3">
      <c r="A36" s="26" t="s">
        <v>96</v>
      </c>
      <c r="B36" s="26" t="s">
        <v>97</v>
      </c>
      <c r="C36" s="29">
        <v>63.330442147181053</v>
      </c>
      <c r="D36" s="29">
        <v>70.025688013948354</v>
      </c>
      <c r="E36" s="29">
        <v>74.489185258459912</v>
      </c>
      <c r="F36" s="29">
        <v>65.487449470137747</v>
      </c>
      <c r="G36" s="29">
        <v>69.950946714649291</v>
      </c>
      <c r="H36" s="29">
        <v>74.414443959160835</v>
      </c>
      <c r="I36" s="29">
        <v>65.4376219372717</v>
      </c>
      <c r="J36" s="29">
        <v>69.901119181783244</v>
      </c>
      <c r="K36" s="29">
        <v>74.364616426294788</v>
      </c>
      <c r="L36" s="29">
        <v>65.400251287622169</v>
      </c>
      <c r="M36" s="29">
        <v>69.863748532133712</v>
      </c>
      <c r="N36" s="29">
        <v>74.327245776645256</v>
      </c>
      <c r="O36" s="29">
        <v>65.369109079580895</v>
      </c>
      <c r="P36" s="29">
        <v>69.832606324092424</v>
      </c>
      <c r="Q36" s="29">
        <v>74.296103568603968</v>
      </c>
      <c r="R36" s="29">
        <v>65.340458248182912</v>
      </c>
      <c r="S36" s="29">
        <v>69.803955492694442</v>
      </c>
      <c r="T36" s="29">
        <v>74.267452737205986</v>
      </c>
      <c r="U36" s="29">
        <v>65.313053105106576</v>
      </c>
      <c r="V36" s="29">
        <v>69.77655034961812</v>
      </c>
      <c r="W36" s="29">
        <v>74.451506301948115</v>
      </c>
      <c r="X36" s="21"/>
      <c r="Y36" s="21"/>
      <c r="Z36" s="21"/>
    </row>
    <row r="37" spans="1:26" x14ac:dyDescent="0.3">
      <c r="A37" s="26" t="s">
        <v>98</v>
      </c>
      <c r="B37" s="26" t="s">
        <v>99</v>
      </c>
      <c r="C37" s="29">
        <v>6.701634089648789E-3</v>
      </c>
      <c r="D37" s="29">
        <v>7.4101257157617303E-3</v>
      </c>
      <c r="E37" s="29">
        <v>7.8824534665036944E-3</v>
      </c>
      <c r="F37" s="29">
        <v>6.9298888328188091E-3</v>
      </c>
      <c r="G37" s="29">
        <v>7.4022165835607714E-3</v>
      </c>
      <c r="H37" s="29">
        <v>7.8745443343027337E-3</v>
      </c>
      <c r="I37" s="29">
        <v>6.9246160780181689E-3</v>
      </c>
      <c r="J37" s="29">
        <v>7.3969438287601313E-3</v>
      </c>
      <c r="K37" s="29">
        <v>7.8692715795020945E-3</v>
      </c>
      <c r="L37" s="29">
        <v>6.9206615119176895E-3</v>
      </c>
      <c r="M37" s="29">
        <v>7.3929892626596518E-3</v>
      </c>
      <c r="N37" s="29">
        <v>7.865317013401615E-3</v>
      </c>
      <c r="O37" s="29">
        <v>6.9173660401672908E-3</v>
      </c>
      <c r="P37" s="29">
        <v>7.3896937909092514E-3</v>
      </c>
      <c r="Q37" s="29">
        <v>7.8620215416512138E-3</v>
      </c>
      <c r="R37" s="29">
        <v>6.9143342061569217E-3</v>
      </c>
      <c r="S37" s="29">
        <v>7.3866619568988831E-3</v>
      </c>
      <c r="T37" s="29">
        <v>7.8589897076408455E-3</v>
      </c>
      <c r="U37" s="29">
        <v>6.911434191016569E-3</v>
      </c>
      <c r="V37" s="29">
        <v>7.3837619417585314E-3</v>
      </c>
      <c r="W37" s="29">
        <v>7.8784662753384246E-3</v>
      </c>
      <c r="X37" s="21"/>
      <c r="Y37" s="21"/>
      <c r="Z37" s="21"/>
    </row>
    <row r="38" spans="1:26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3">
      <c r="A39" s="25" t="s">
        <v>118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3">
      <c r="A40" s="26" t="s">
        <v>91</v>
      </c>
      <c r="B40" s="26"/>
      <c r="C40" s="26">
        <v>2020</v>
      </c>
      <c r="D40" s="26">
        <v>2020</v>
      </c>
      <c r="E40" s="26">
        <v>2020</v>
      </c>
      <c r="F40" s="26">
        <v>2025</v>
      </c>
      <c r="G40" s="26">
        <v>2025</v>
      </c>
      <c r="H40" s="26">
        <v>2025</v>
      </c>
      <c r="I40" s="26">
        <v>2030</v>
      </c>
      <c r="J40" s="26">
        <v>2030</v>
      </c>
      <c r="K40" s="26">
        <v>2030</v>
      </c>
      <c r="L40" s="26">
        <v>2035</v>
      </c>
      <c r="M40" s="26">
        <v>2035</v>
      </c>
      <c r="N40" s="26">
        <v>2035</v>
      </c>
      <c r="O40" s="26">
        <v>2040</v>
      </c>
      <c r="P40" s="26">
        <v>2040</v>
      </c>
      <c r="Q40" s="26">
        <v>2040</v>
      </c>
      <c r="R40" s="26">
        <v>2045</v>
      </c>
      <c r="S40" s="26">
        <v>2045</v>
      </c>
      <c r="T40" s="26">
        <v>2045</v>
      </c>
      <c r="U40" s="26">
        <v>2050</v>
      </c>
      <c r="V40" s="26">
        <v>2050</v>
      </c>
      <c r="W40" s="26">
        <v>2050</v>
      </c>
      <c r="X40" s="21"/>
      <c r="Y40" s="21"/>
      <c r="Z40" s="21"/>
    </row>
    <row r="41" spans="1:26" x14ac:dyDescent="0.3">
      <c r="A41" s="26" t="s">
        <v>92</v>
      </c>
      <c r="B41" s="26"/>
      <c r="C41" s="26" t="s">
        <v>93</v>
      </c>
      <c r="D41" s="26" t="s">
        <v>94</v>
      </c>
      <c r="E41" s="26" t="s">
        <v>95</v>
      </c>
      <c r="F41" s="26" t="s">
        <v>93</v>
      </c>
      <c r="G41" s="26" t="s">
        <v>94</v>
      </c>
      <c r="H41" s="26" t="s">
        <v>95</v>
      </c>
      <c r="I41" s="26" t="s">
        <v>93</v>
      </c>
      <c r="J41" s="26" t="s">
        <v>94</v>
      </c>
      <c r="K41" s="26" t="s">
        <v>95</v>
      </c>
      <c r="L41" s="26" t="s">
        <v>93</v>
      </c>
      <c r="M41" s="26" t="s">
        <v>94</v>
      </c>
      <c r="N41" s="26" t="s">
        <v>95</v>
      </c>
      <c r="O41" s="26" t="s">
        <v>93</v>
      </c>
      <c r="P41" s="26" t="s">
        <v>94</v>
      </c>
      <c r="Q41" s="26" t="s">
        <v>95</v>
      </c>
      <c r="R41" s="26" t="s">
        <v>93</v>
      </c>
      <c r="S41" s="26" t="s">
        <v>94</v>
      </c>
      <c r="T41" s="26" t="s">
        <v>95</v>
      </c>
      <c r="U41" s="26" t="s">
        <v>93</v>
      </c>
      <c r="V41" s="26" t="s">
        <v>94</v>
      </c>
      <c r="W41" s="26" t="s">
        <v>95</v>
      </c>
      <c r="X41" s="21"/>
      <c r="Y41" s="21"/>
      <c r="Z41" s="21"/>
    </row>
    <row r="42" spans="1:26" x14ac:dyDescent="0.3">
      <c r="A42" s="26" t="s">
        <v>96</v>
      </c>
      <c r="B42" s="26" t="s">
        <v>97</v>
      </c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118.3375523278122</v>
      </c>
      <c r="J42" s="29">
        <v>151.86171664778865</v>
      </c>
      <c r="K42" s="29">
        <v>192.80160169459742</v>
      </c>
      <c r="L42" s="29">
        <v>107.43463040960458</v>
      </c>
      <c r="M42" s="29">
        <v>137.06926759396413</v>
      </c>
      <c r="N42" s="29">
        <v>175.08439084405157</v>
      </c>
      <c r="O42" s="29">
        <v>98.514616792600094</v>
      </c>
      <c r="P42" s="29">
        <v>123.02464296908737</v>
      </c>
      <c r="Q42" s="29">
        <v>156.16684767467075</v>
      </c>
      <c r="R42" s="29">
        <v>91.222175794396492</v>
      </c>
      <c r="S42" s="29">
        <v>111.25576902822024</v>
      </c>
      <c r="T42" s="29">
        <v>139.73347037932012</v>
      </c>
      <c r="U42" s="29">
        <v>84.871261483842446</v>
      </c>
      <c r="V42" s="29">
        <v>100.95840459329722</v>
      </c>
      <c r="W42" s="29">
        <v>127.07567551149387</v>
      </c>
      <c r="X42" s="21"/>
      <c r="Y42" s="21"/>
      <c r="Z42" s="21"/>
    </row>
    <row r="43" spans="1:26" x14ac:dyDescent="0.3">
      <c r="A43" s="26" t="s">
        <v>98</v>
      </c>
      <c r="B43" s="26" t="s">
        <v>99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1.2522492309821397E-2</v>
      </c>
      <c r="J43" s="29">
        <v>1.6070022925691922E-2</v>
      </c>
      <c r="K43" s="29">
        <v>2.0402285893608194E-2</v>
      </c>
      <c r="L43" s="29">
        <v>1.1368743958688315E-2</v>
      </c>
      <c r="M43" s="29">
        <v>1.4504684401477685E-2</v>
      </c>
      <c r="N43" s="29">
        <v>1.8527448766566302E-2</v>
      </c>
      <c r="O43" s="29">
        <v>1.0424827173820116E-2</v>
      </c>
      <c r="P43" s="29">
        <v>1.3018480737469562E-2</v>
      </c>
      <c r="Q43" s="29">
        <v>1.6525592346526004E-2</v>
      </c>
      <c r="R43" s="29">
        <v>9.6531402957033326E-3</v>
      </c>
      <c r="S43" s="29">
        <v>1.1773097251663518E-2</v>
      </c>
      <c r="T43" s="29">
        <v>1.4786610622150278E-2</v>
      </c>
      <c r="U43" s="29">
        <v>8.9810858713060791E-3</v>
      </c>
      <c r="V43" s="29">
        <v>1.068342905749177E-2</v>
      </c>
      <c r="W43" s="29">
        <v>1.3447161429787712E-2</v>
      </c>
      <c r="X43" s="21"/>
      <c r="Y43" s="21"/>
      <c r="Z43" s="21"/>
    </row>
    <row r="44" spans="1:26" x14ac:dyDescent="0.3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3">
      <c r="A45" s="25" t="s">
        <v>119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3">
      <c r="A46" s="26" t="s">
        <v>91</v>
      </c>
      <c r="B46" s="26"/>
      <c r="C46" s="26">
        <v>2020</v>
      </c>
      <c r="D46" s="26">
        <v>2020</v>
      </c>
      <c r="E46" s="26">
        <v>2020</v>
      </c>
      <c r="F46" s="26">
        <v>2025</v>
      </c>
      <c r="G46" s="26">
        <v>2025</v>
      </c>
      <c r="H46" s="26">
        <v>2025</v>
      </c>
      <c r="I46" s="26">
        <v>2030</v>
      </c>
      <c r="J46" s="26">
        <v>2030</v>
      </c>
      <c r="K46" s="26">
        <v>2030</v>
      </c>
      <c r="L46" s="26">
        <v>2035</v>
      </c>
      <c r="M46" s="26">
        <v>2035</v>
      </c>
      <c r="N46" s="26">
        <v>2035</v>
      </c>
      <c r="O46" s="26">
        <v>2040</v>
      </c>
      <c r="P46" s="26">
        <v>2040</v>
      </c>
      <c r="Q46" s="26">
        <v>2040</v>
      </c>
      <c r="R46" s="26">
        <v>2045</v>
      </c>
      <c r="S46" s="26">
        <v>2045</v>
      </c>
      <c r="T46" s="26">
        <v>2045</v>
      </c>
      <c r="U46" s="26">
        <v>2050</v>
      </c>
      <c r="V46" s="26">
        <v>2050</v>
      </c>
      <c r="W46" s="26">
        <v>2050</v>
      </c>
      <c r="X46" s="21"/>
      <c r="Y46" s="21"/>
      <c r="Z46" s="21"/>
    </row>
    <row r="47" spans="1:26" x14ac:dyDescent="0.3">
      <c r="A47" s="26" t="s">
        <v>92</v>
      </c>
      <c r="B47" s="26"/>
      <c r="C47" s="26" t="s">
        <v>93</v>
      </c>
      <c r="D47" s="26" t="s">
        <v>94</v>
      </c>
      <c r="E47" s="26" t="s">
        <v>95</v>
      </c>
      <c r="F47" s="26" t="s">
        <v>93</v>
      </c>
      <c r="G47" s="26" t="s">
        <v>94</v>
      </c>
      <c r="H47" s="26" t="s">
        <v>95</v>
      </c>
      <c r="I47" s="26" t="s">
        <v>93</v>
      </c>
      <c r="J47" s="26" t="s">
        <v>94</v>
      </c>
      <c r="K47" s="26" t="s">
        <v>95</v>
      </c>
      <c r="L47" s="26" t="s">
        <v>93</v>
      </c>
      <c r="M47" s="26" t="s">
        <v>94</v>
      </c>
      <c r="N47" s="26" t="s">
        <v>95</v>
      </c>
      <c r="O47" s="26" t="s">
        <v>93</v>
      </c>
      <c r="P47" s="26" t="s">
        <v>94</v>
      </c>
      <c r="Q47" s="26" t="s">
        <v>95</v>
      </c>
      <c r="R47" s="26" t="s">
        <v>93</v>
      </c>
      <c r="S47" s="26" t="s">
        <v>94</v>
      </c>
      <c r="T47" s="26" t="s">
        <v>95</v>
      </c>
      <c r="U47" s="26" t="s">
        <v>93</v>
      </c>
      <c r="V47" s="26" t="s">
        <v>94</v>
      </c>
      <c r="W47" s="26" t="s">
        <v>95</v>
      </c>
      <c r="X47" s="21"/>
      <c r="Y47" s="21"/>
      <c r="Z47" s="21"/>
    </row>
    <row r="48" spans="1:26" x14ac:dyDescent="0.3">
      <c r="A48" s="26" t="s">
        <v>96</v>
      </c>
      <c r="B48" s="26" t="s">
        <v>97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112.88512762471076</v>
      </c>
      <c r="J48" s="29">
        <v>146.84521118705186</v>
      </c>
      <c r="K48" s="29">
        <v>190.33424840388673</v>
      </c>
      <c r="L48" s="29">
        <v>104.23765001848412</v>
      </c>
      <c r="M48" s="29">
        <v>134.23510106777977</v>
      </c>
      <c r="N48" s="29">
        <v>174.83104632125662</v>
      </c>
      <c r="O48" s="29">
        <v>96.874549962125229</v>
      </c>
      <c r="P48" s="29">
        <v>121.70752317473068</v>
      </c>
      <c r="Q48" s="29">
        <v>157.05437065059169</v>
      </c>
      <c r="R48" s="29">
        <v>88.745035936547225</v>
      </c>
      <c r="S48" s="29">
        <v>109.46912942997312</v>
      </c>
      <c r="T48" s="29">
        <v>139.69687301863618</v>
      </c>
      <c r="U48" s="29">
        <v>80.992283618994023</v>
      </c>
      <c r="V48" s="29">
        <v>98.429822230140488</v>
      </c>
      <c r="W48" s="29">
        <v>125.01587190899922</v>
      </c>
      <c r="X48" s="21"/>
      <c r="Y48" s="21"/>
      <c r="Z48" s="21"/>
    </row>
    <row r="49" spans="1:26" x14ac:dyDescent="0.3">
      <c r="A49" s="26" t="s">
        <v>98</v>
      </c>
      <c r="B49" s="26" t="s">
        <v>99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1.1945516150763044E-2</v>
      </c>
      <c r="J49" s="29">
        <v>1.5539175786989615E-2</v>
      </c>
      <c r="K49" s="29">
        <v>2.01411903072896E-2</v>
      </c>
      <c r="L49" s="29">
        <v>1.1030439155395144E-2</v>
      </c>
      <c r="M49" s="29">
        <v>1.4204772599765055E-2</v>
      </c>
      <c r="N49" s="29">
        <v>1.8500639822355197E-2</v>
      </c>
      <c r="O49" s="29">
        <v>1.025127512826722E-2</v>
      </c>
      <c r="P49" s="29">
        <v>1.2879102981452983E-2</v>
      </c>
      <c r="Q49" s="29">
        <v>1.6619510121755734E-2</v>
      </c>
      <c r="R49" s="29">
        <v>9.3910090938145209E-3</v>
      </c>
      <c r="S49" s="29">
        <v>1.1584034860314616E-2</v>
      </c>
      <c r="T49" s="29">
        <v>1.4782737885569967E-2</v>
      </c>
      <c r="U49" s="29">
        <v>8.5706120231739714E-3</v>
      </c>
      <c r="V49" s="29">
        <v>1.0415854204247671E-2</v>
      </c>
      <c r="W49" s="29">
        <v>1.3229192794603092E-2</v>
      </c>
      <c r="X49" s="21"/>
      <c r="Y49" s="21"/>
      <c r="Z49" s="21"/>
    </row>
    <row r="50" spans="1:26" x14ac:dyDescent="0.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3">
      <c r="A51" s="25" t="s">
        <v>120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3">
      <c r="A52" s="26" t="s">
        <v>91</v>
      </c>
      <c r="B52" s="26"/>
      <c r="C52" s="26">
        <v>2020</v>
      </c>
      <c r="D52" s="26">
        <v>2020</v>
      </c>
      <c r="E52" s="26">
        <v>2020</v>
      </c>
      <c r="F52" s="26">
        <v>2025</v>
      </c>
      <c r="G52" s="26">
        <v>2025</v>
      </c>
      <c r="H52" s="26">
        <v>2025</v>
      </c>
      <c r="I52" s="26">
        <v>2030</v>
      </c>
      <c r="J52" s="26">
        <v>2030</v>
      </c>
      <c r="K52" s="26">
        <v>2030</v>
      </c>
      <c r="L52" s="26">
        <v>2035</v>
      </c>
      <c r="M52" s="26">
        <v>2035</v>
      </c>
      <c r="N52" s="26">
        <v>2035</v>
      </c>
      <c r="O52" s="26">
        <v>2040</v>
      </c>
      <c r="P52" s="26">
        <v>2040</v>
      </c>
      <c r="Q52" s="26">
        <v>2040</v>
      </c>
      <c r="R52" s="26">
        <v>2045</v>
      </c>
      <c r="S52" s="26">
        <v>2045</v>
      </c>
      <c r="T52" s="26">
        <v>2045</v>
      </c>
      <c r="U52" s="26">
        <v>2050</v>
      </c>
      <c r="V52" s="26">
        <v>2050</v>
      </c>
      <c r="W52" s="26">
        <v>2050</v>
      </c>
      <c r="X52" s="21"/>
      <c r="Y52" s="21"/>
      <c r="Z52" s="21"/>
    </row>
    <row r="53" spans="1:26" x14ac:dyDescent="0.3">
      <c r="A53" s="26" t="s">
        <v>92</v>
      </c>
      <c r="B53" s="26"/>
      <c r="C53" s="26" t="s">
        <v>93</v>
      </c>
      <c r="D53" s="26" t="s">
        <v>94</v>
      </c>
      <c r="E53" s="26" t="s">
        <v>95</v>
      </c>
      <c r="F53" s="26" t="s">
        <v>93</v>
      </c>
      <c r="G53" s="26" t="s">
        <v>94</v>
      </c>
      <c r="H53" s="26" t="s">
        <v>95</v>
      </c>
      <c r="I53" s="26" t="s">
        <v>93</v>
      </c>
      <c r="J53" s="26" t="s">
        <v>94</v>
      </c>
      <c r="K53" s="26" t="s">
        <v>95</v>
      </c>
      <c r="L53" s="26" t="s">
        <v>93</v>
      </c>
      <c r="M53" s="26" t="s">
        <v>94</v>
      </c>
      <c r="N53" s="26" t="s">
        <v>95</v>
      </c>
      <c r="O53" s="26" t="s">
        <v>93</v>
      </c>
      <c r="P53" s="26" t="s">
        <v>94</v>
      </c>
      <c r="Q53" s="26" t="s">
        <v>95</v>
      </c>
      <c r="R53" s="26" t="s">
        <v>93</v>
      </c>
      <c r="S53" s="26" t="s">
        <v>94</v>
      </c>
      <c r="T53" s="26" t="s">
        <v>95</v>
      </c>
      <c r="U53" s="26" t="s">
        <v>93</v>
      </c>
      <c r="V53" s="26" t="s">
        <v>94</v>
      </c>
      <c r="W53" s="26" t="s">
        <v>95</v>
      </c>
      <c r="X53" s="21"/>
      <c r="Y53" s="21"/>
      <c r="Z53" s="21"/>
    </row>
    <row r="54" spans="1:26" x14ac:dyDescent="0.3">
      <c r="A54" s="26" t="s">
        <v>96</v>
      </c>
      <c r="B54" s="26" t="s">
        <v>97</v>
      </c>
      <c r="C54" s="29">
        <v>188.29944123128348</v>
      </c>
      <c r="D54" s="29">
        <v>232.0320116775589</v>
      </c>
      <c r="E54" s="29">
        <v>284.29598879312056</v>
      </c>
      <c r="F54" s="29">
        <v>142.82055071201904</v>
      </c>
      <c r="G54" s="29">
        <v>180.62313348765065</v>
      </c>
      <c r="H54" s="29">
        <v>228.35563932721439</v>
      </c>
      <c r="I54" s="29">
        <v>118.98150759731058</v>
      </c>
      <c r="J54" s="29">
        <v>152.76384663352172</v>
      </c>
      <c r="K54" s="29">
        <v>196.27684670919336</v>
      </c>
      <c r="L54" s="29">
        <v>107.75758859740375</v>
      </c>
      <c r="M54" s="29">
        <v>137.67321472054223</v>
      </c>
      <c r="N54" s="29">
        <v>177.35795245606761</v>
      </c>
      <c r="O54" s="29">
        <v>100.6400301634749</v>
      </c>
      <c r="P54" s="29">
        <v>128.24108986128627</v>
      </c>
      <c r="Q54" s="29">
        <v>164.24244896248558</v>
      </c>
      <c r="R54" s="29">
        <v>96.373923547629786</v>
      </c>
      <c r="S54" s="29">
        <v>121.31916193869151</v>
      </c>
      <c r="T54" s="29">
        <v>154.14821230764306</v>
      </c>
      <c r="U54" s="29">
        <v>93.077166675032444</v>
      </c>
      <c r="V54" s="29">
        <v>115.64410267132213</v>
      </c>
      <c r="W54" s="29">
        <v>145.29413287105672</v>
      </c>
      <c r="X54" s="21"/>
      <c r="Y54" s="21"/>
      <c r="Z54" s="21"/>
    </row>
    <row r="55" spans="1:26" x14ac:dyDescent="0.3">
      <c r="A55" s="26" t="s">
        <v>98</v>
      </c>
      <c r="B55" s="26" t="s">
        <v>99</v>
      </c>
      <c r="C55" s="29">
        <v>1.9925866796961216E-2</v>
      </c>
      <c r="D55" s="29">
        <v>2.4553652029371313E-2</v>
      </c>
      <c r="E55" s="29">
        <v>3.0084231618319635E-2</v>
      </c>
      <c r="F55" s="29">
        <v>1.5113285789631645E-2</v>
      </c>
      <c r="G55" s="29">
        <v>1.9113559099222292E-2</v>
      </c>
      <c r="H55" s="29">
        <v>2.4164617918223746E-2</v>
      </c>
      <c r="I55" s="29">
        <v>1.2590635724583131E-2</v>
      </c>
      <c r="J55" s="29">
        <v>1.6165486416245683E-2</v>
      </c>
      <c r="K55" s="29">
        <v>2.077003668880353E-2</v>
      </c>
      <c r="L55" s="29">
        <v>1.1402919428296694E-2</v>
      </c>
      <c r="M55" s="29">
        <v>1.4568594150321929E-2</v>
      </c>
      <c r="N55" s="29">
        <v>1.8768037296938371E-2</v>
      </c>
      <c r="O55" s="29">
        <v>1.0649738641637556E-2</v>
      </c>
      <c r="P55" s="29">
        <v>1.3570485699607013E-2</v>
      </c>
      <c r="Q55" s="29">
        <v>1.7380153329363553E-2</v>
      </c>
      <c r="R55" s="29">
        <v>1.0198298788108972E-2</v>
      </c>
      <c r="S55" s="29">
        <v>1.2838006554358889E-2</v>
      </c>
      <c r="T55" s="29">
        <v>1.6311980138374926E-2</v>
      </c>
      <c r="U55" s="29">
        <v>9.849435626987561E-3</v>
      </c>
      <c r="V55" s="29">
        <v>1.2237471182150491E-2</v>
      </c>
      <c r="W55" s="29">
        <v>1.5375040515455737E-2</v>
      </c>
      <c r="X55" s="21"/>
      <c r="Y55" s="21"/>
      <c r="Z55" s="21"/>
    </row>
    <row r="56" spans="1:26" x14ac:dyDescent="0.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3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3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BB70-C564-430C-8368-0301BECC4495}">
  <dimension ref="A1:O25"/>
  <sheetViews>
    <sheetView workbookViewId="0">
      <selection activeCell="O18" sqref="O18"/>
    </sheetView>
  </sheetViews>
  <sheetFormatPr defaultRowHeight="14.4" x14ac:dyDescent="0.3"/>
  <cols>
    <col min="6" max="7" width="10.5546875" bestFit="1" customWidth="1"/>
  </cols>
  <sheetData>
    <row r="1" spans="1:15" x14ac:dyDescent="0.3">
      <c r="A1" s="1" t="s">
        <v>134</v>
      </c>
      <c r="L1" s="1" t="s">
        <v>132</v>
      </c>
    </row>
    <row r="2" spans="1:15" x14ac:dyDescent="0.3">
      <c r="B2" s="1"/>
    </row>
    <row r="3" spans="1:15" x14ac:dyDescent="0.3">
      <c r="A3" s="31"/>
      <c r="B3" s="1" t="s">
        <v>126</v>
      </c>
      <c r="C3" s="1"/>
      <c r="D3" s="1"/>
      <c r="E3" s="1" t="s">
        <v>130</v>
      </c>
      <c r="F3" s="1"/>
      <c r="G3" s="1"/>
      <c r="H3" s="1"/>
      <c r="I3" s="31"/>
      <c r="J3" s="31"/>
      <c r="K3" s="31"/>
      <c r="L3" s="31"/>
      <c r="M3" s="1" t="s">
        <v>126</v>
      </c>
      <c r="N3" s="1"/>
      <c r="O3" s="1"/>
    </row>
    <row r="4" spans="1:15" x14ac:dyDescent="0.3">
      <c r="A4" s="31"/>
      <c r="B4" s="1" t="s">
        <v>127</v>
      </c>
      <c r="C4" s="1" t="s">
        <v>128</v>
      </c>
      <c r="D4" s="1" t="s">
        <v>129</v>
      </c>
      <c r="E4" s="1" t="s">
        <v>44</v>
      </c>
      <c r="F4" s="1" t="s">
        <v>128</v>
      </c>
      <c r="G4" s="1" t="s">
        <v>131</v>
      </c>
      <c r="H4" s="1" t="s">
        <v>129</v>
      </c>
      <c r="I4" s="31"/>
      <c r="J4" s="31"/>
      <c r="K4" s="31"/>
      <c r="L4" s="31"/>
      <c r="M4" s="1" t="s">
        <v>127</v>
      </c>
      <c r="N4" s="1" t="s">
        <v>128</v>
      </c>
      <c r="O4" s="1" t="s">
        <v>129</v>
      </c>
    </row>
    <row r="5" spans="1:15" x14ac:dyDescent="0.3">
      <c r="A5" s="1">
        <v>2020</v>
      </c>
      <c r="B5" s="32">
        <v>1.2767928712592653</v>
      </c>
      <c r="C5" s="32">
        <v>2.1213845775913618</v>
      </c>
      <c r="D5" s="32">
        <v>2.1937387804084145</v>
      </c>
      <c r="E5" s="29">
        <v>70.025688013948354</v>
      </c>
      <c r="F5" s="29">
        <v>9999</v>
      </c>
      <c r="G5" s="29">
        <v>9999</v>
      </c>
      <c r="H5" s="29">
        <v>232.0320116775589</v>
      </c>
      <c r="I5" s="31"/>
      <c r="J5" s="31"/>
      <c r="K5" s="31"/>
      <c r="L5" s="1">
        <v>2020</v>
      </c>
      <c r="M5" s="32">
        <v>1.7730814709196963E-2</v>
      </c>
      <c r="N5" s="32">
        <v>7.0669961483799351E-2</v>
      </c>
      <c r="O5" s="32">
        <v>1.7730814709196963E-2</v>
      </c>
    </row>
    <row r="6" spans="1:15" x14ac:dyDescent="0.3">
      <c r="A6" s="1">
        <v>2025</v>
      </c>
      <c r="B6" s="32">
        <v>1.2763128712592651</v>
      </c>
      <c r="C6" s="32">
        <v>1.8539131909777176</v>
      </c>
      <c r="D6" s="32">
        <v>1.8635831400519962</v>
      </c>
      <c r="E6" s="29">
        <v>69.950946714649291</v>
      </c>
      <c r="F6" s="29">
        <v>9999</v>
      </c>
      <c r="G6" s="29">
        <v>9999</v>
      </c>
      <c r="H6" s="29">
        <v>180.62313348765065</v>
      </c>
      <c r="I6" s="31"/>
      <c r="J6" s="31"/>
      <c r="K6" s="31"/>
      <c r="L6" s="1">
        <v>2025</v>
      </c>
      <c r="M6" s="32">
        <v>1.7730814709196963E-2</v>
      </c>
      <c r="N6" s="32">
        <v>6.42564725061298E-2</v>
      </c>
      <c r="O6" s="32">
        <v>1.7730814709196963E-2</v>
      </c>
    </row>
    <row r="7" spans="1:15" x14ac:dyDescent="0.3">
      <c r="A7" s="1">
        <v>2030</v>
      </c>
      <c r="B7" s="32">
        <v>1.2759928712592652</v>
      </c>
      <c r="C7" s="32">
        <v>1.6422220976950082</v>
      </c>
      <c r="D7" s="32">
        <v>1.6846665595885915</v>
      </c>
      <c r="E7" s="29">
        <v>69.901119181783244</v>
      </c>
      <c r="F7" s="29">
        <v>151.86171664778865</v>
      </c>
      <c r="G7" s="29">
        <v>146.84521118705186</v>
      </c>
      <c r="H7" s="29">
        <v>152.76384663352172</v>
      </c>
      <c r="I7" s="31"/>
      <c r="J7" s="31"/>
      <c r="K7" s="31"/>
      <c r="L7" s="1">
        <v>2030</v>
      </c>
      <c r="M7" s="32">
        <v>1.7730814709196963E-2</v>
      </c>
      <c r="N7" s="32">
        <v>4.8759740450291647E-2</v>
      </c>
      <c r="O7" s="32">
        <v>1.7730814709196963E-2</v>
      </c>
    </row>
    <row r="8" spans="1:15" x14ac:dyDescent="0.3">
      <c r="A8" s="1">
        <v>2035</v>
      </c>
      <c r="B8" s="32">
        <v>1.2757528712592652</v>
      </c>
      <c r="C8" s="32">
        <v>1.4955046571342974</v>
      </c>
      <c r="D8" s="32">
        <v>1.587752224593614</v>
      </c>
      <c r="E8" s="29">
        <v>69.863748532133712</v>
      </c>
      <c r="F8" s="29">
        <v>137.06926759396413</v>
      </c>
      <c r="G8" s="29">
        <v>134.23510106777977</v>
      </c>
      <c r="H8" s="29">
        <v>137.67321472054223</v>
      </c>
      <c r="I8" s="31"/>
      <c r="J8" s="31"/>
      <c r="K8" s="31"/>
      <c r="L8" s="1">
        <v>2035</v>
      </c>
      <c r="M8" s="32">
        <v>1.7730814709196963E-2</v>
      </c>
      <c r="N8" s="32">
        <v>3.5837105494588684E-2</v>
      </c>
      <c r="O8" s="32">
        <v>1.7730814709196963E-2</v>
      </c>
    </row>
    <row r="9" spans="1:15" x14ac:dyDescent="0.3">
      <c r="A9" s="1">
        <v>2040</v>
      </c>
      <c r="B9" s="32">
        <v>1.2755528712592652</v>
      </c>
      <c r="C9" s="32">
        <v>1.4378216218112176</v>
      </c>
      <c r="D9" s="32">
        <v>1.5271776831432882</v>
      </c>
      <c r="E9" s="29">
        <v>69.832606324092424</v>
      </c>
      <c r="F9" s="29">
        <v>123.02464296908737</v>
      </c>
      <c r="G9" s="29">
        <v>121.70752317473068</v>
      </c>
      <c r="H9" s="29">
        <v>128.24108986128627</v>
      </c>
      <c r="I9" s="31"/>
      <c r="J9" s="31"/>
      <c r="K9" s="31"/>
      <c r="L9" s="1">
        <v>2040</v>
      </c>
      <c r="M9" s="32">
        <v>1.7730814709196963E-2</v>
      </c>
      <c r="N9" s="32">
        <v>2.5030000097816377E-2</v>
      </c>
      <c r="O9" s="32">
        <v>1.7730814709196963E-2</v>
      </c>
    </row>
    <row r="10" spans="1:15" x14ac:dyDescent="0.3">
      <c r="A10" s="1">
        <v>2045</v>
      </c>
      <c r="B10" s="32">
        <v>1.2753688712592655</v>
      </c>
      <c r="C10" s="32">
        <v>1.4011312462807095</v>
      </c>
      <c r="D10" s="32">
        <v>1.4827240084814306</v>
      </c>
      <c r="E10" s="29">
        <v>69.803955492694442</v>
      </c>
      <c r="F10" s="29">
        <v>111.25576902822024</v>
      </c>
      <c r="G10" s="29">
        <v>109.46912942997312</v>
      </c>
      <c r="H10" s="29">
        <v>121.31916193869151</v>
      </c>
      <c r="I10" s="31"/>
      <c r="J10" s="31"/>
      <c r="K10" s="31"/>
      <c r="L10" s="1">
        <v>2045</v>
      </c>
      <c r="M10" s="32">
        <v>1.7730814709196963E-2</v>
      </c>
      <c r="N10" s="32">
        <v>2.3516659509040184E-2</v>
      </c>
      <c r="O10" s="32">
        <v>1.7730814709196963E-2</v>
      </c>
    </row>
    <row r="11" spans="1:15" x14ac:dyDescent="0.3">
      <c r="A11" s="1">
        <v>2050</v>
      </c>
      <c r="B11" s="32">
        <v>1.2751928712592653</v>
      </c>
      <c r="C11" s="32">
        <v>1.3759969700023786</v>
      </c>
      <c r="D11" s="32">
        <v>1.4462779141014377</v>
      </c>
      <c r="E11" s="29">
        <v>69.77655034961812</v>
      </c>
      <c r="F11" s="29">
        <v>100.95840459329722</v>
      </c>
      <c r="G11" s="29">
        <v>98.429822230140488</v>
      </c>
      <c r="H11" s="29">
        <v>115.64410267132213</v>
      </c>
      <c r="I11" s="31"/>
      <c r="J11" s="31"/>
      <c r="K11" s="31"/>
      <c r="L11" s="1">
        <v>2050</v>
      </c>
      <c r="M11" s="32">
        <v>1.7730814709196963E-2</v>
      </c>
      <c r="N11" s="32">
        <v>2.2340826533588171E-2</v>
      </c>
      <c r="O11" s="32">
        <v>1.7730814709196963E-2</v>
      </c>
    </row>
    <row r="12" spans="1:15" x14ac:dyDescent="0.3">
      <c r="A12" s="1"/>
      <c r="B12" s="32"/>
      <c r="C12" s="32"/>
      <c r="D12" s="32"/>
      <c r="E12" s="33"/>
      <c r="F12" s="33"/>
      <c r="G12" s="33"/>
      <c r="H12" s="33"/>
      <c r="I12" s="31"/>
      <c r="J12" s="31"/>
      <c r="K12" s="31"/>
      <c r="L12" s="1"/>
      <c r="M12" s="32"/>
      <c r="N12" s="32"/>
      <c r="O12" s="32"/>
    </row>
    <row r="15" spans="1:15" x14ac:dyDescent="0.3">
      <c r="A15" s="1" t="s">
        <v>133</v>
      </c>
      <c r="L15" s="1" t="s">
        <v>145</v>
      </c>
    </row>
    <row r="16" spans="1:15" x14ac:dyDescent="0.3">
      <c r="B16" s="1"/>
      <c r="L16">
        <v>9.6300000000000008</v>
      </c>
    </row>
    <row r="17" spans="1:8" x14ac:dyDescent="0.3">
      <c r="A17" s="31"/>
      <c r="B17" s="1" t="s">
        <v>126</v>
      </c>
      <c r="C17" s="1"/>
      <c r="D17" s="1"/>
      <c r="E17" s="1" t="s">
        <v>130</v>
      </c>
      <c r="F17" s="1"/>
      <c r="G17" s="1"/>
      <c r="H17" s="1"/>
    </row>
    <row r="18" spans="1:8" x14ac:dyDescent="0.3">
      <c r="A18" s="31"/>
      <c r="B18" s="1" t="s">
        <v>127</v>
      </c>
      <c r="C18" s="1" t="s">
        <v>128</v>
      </c>
      <c r="D18" s="1" t="s">
        <v>129</v>
      </c>
      <c r="E18" s="1" t="s">
        <v>44</v>
      </c>
      <c r="F18" s="1" t="s">
        <v>128</v>
      </c>
      <c r="G18" s="1" t="s">
        <v>131</v>
      </c>
      <c r="H18" s="1" t="s">
        <v>129</v>
      </c>
    </row>
    <row r="19" spans="1:8" x14ac:dyDescent="0.3">
      <c r="A19" s="1">
        <v>2020</v>
      </c>
      <c r="B19" s="32">
        <f>B5-M5</f>
        <v>1.2590620565500683</v>
      </c>
      <c r="C19" s="32">
        <f t="shared" ref="C19:D25" si="0">C5-N5</f>
        <v>2.0507146161075624</v>
      </c>
      <c r="D19" s="32">
        <f t="shared" si="0"/>
        <v>2.1760079656992177</v>
      </c>
      <c r="E19" s="29">
        <f>E5</f>
        <v>70.025688013948354</v>
      </c>
      <c r="F19" s="29">
        <f t="shared" ref="F19:H19" si="1">F5</f>
        <v>9999</v>
      </c>
      <c r="G19" s="29">
        <f t="shared" si="1"/>
        <v>9999</v>
      </c>
      <c r="H19" s="29">
        <f t="shared" si="1"/>
        <v>232.0320116775589</v>
      </c>
    </row>
    <row r="20" spans="1:8" x14ac:dyDescent="0.3">
      <c r="A20" s="1">
        <v>2025</v>
      </c>
      <c r="B20" s="32">
        <f t="shared" ref="B20:B25" si="2">B6-M6</f>
        <v>1.2585820565500681</v>
      </c>
      <c r="C20" s="32">
        <f t="shared" si="0"/>
        <v>1.7896567184715877</v>
      </c>
      <c r="D20" s="32">
        <f t="shared" si="0"/>
        <v>1.8458523253427992</v>
      </c>
      <c r="E20" s="29">
        <f t="shared" ref="E20:H25" si="3">E6</f>
        <v>69.950946714649291</v>
      </c>
      <c r="F20" s="29">
        <f t="shared" si="3"/>
        <v>9999</v>
      </c>
      <c r="G20" s="29">
        <f t="shared" si="3"/>
        <v>9999</v>
      </c>
      <c r="H20" s="29">
        <f t="shared" si="3"/>
        <v>180.62313348765065</v>
      </c>
    </row>
    <row r="21" spans="1:8" x14ac:dyDescent="0.3">
      <c r="A21" s="1">
        <v>2030</v>
      </c>
      <c r="B21" s="32">
        <f t="shared" si="2"/>
        <v>1.2582620565500682</v>
      </c>
      <c r="C21" s="32">
        <f t="shared" si="0"/>
        <v>1.5934623572447164</v>
      </c>
      <c r="D21" s="32">
        <f t="shared" si="0"/>
        <v>1.6669357448793944</v>
      </c>
      <c r="E21" s="29">
        <f t="shared" si="3"/>
        <v>69.901119181783244</v>
      </c>
      <c r="F21" s="29">
        <f t="shared" si="3"/>
        <v>151.86171664778865</v>
      </c>
      <c r="G21" s="29">
        <f t="shared" si="3"/>
        <v>146.84521118705186</v>
      </c>
      <c r="H21" s="29">
        <f t="shared" si="3"/>
        <v>152.76384663352172</v>
      </c>
    </row>
    <row r="22" spans="1:8" x14ac:dyDescent="0.3">
      <c r="A22" s="1">
        <v>2035</v>
      </c>
      <c r="B22" s="32">
        <f t="shared" si="2"/>
        <v>1.2580220565500682</v>
      </c>
      <c r="C22" s="32">
        <f t="shared" si="0"/>
        <v>1.4596675516397086</v>
      </c>
      <c r="D22" s="32">
        <f t="shared" si="0"/>
        <v>1.570021409884417</v>
      </c>
      <c r="E22" s="29">
        <f t="shared" si="3"/>
        <v>69.863748532133712</v>
      </c>
      <c r="F22" s="29">
        <f t="shared" si="3"/>
        <v>137.06926759396413</v>
      </c>
      <c r="G22" s="29">
        <f t="shared" si="3"/>
        <v>134.23510106777977</v>
      </c>
      <c r="H22" s="29">
        <f t="shared" si="3"/>
        <v>137.67321472054223</v>
      </c>
    </row>
    <row r="23" spans="1:8" x14ac:dyDescent="0.3">
      <c r="A23" s="1">
        <v>2040</v>
      </c>
      <c r="B23" s="32">
        <f t="shared" si="2"/>
        <v>1.2578220565500682</v>
      </c>
      <c r="C23" s="32">
        <f t="shared" si="0"/>
        <v>1.4127916217134013</v>
      </c>
      <c r="D23" s="32">
        <f t="shared" si="0"/>
        <v>1.5094468684340911</v>
      </c>
      <c r="E23" s="29">
        <f t="shared" si="3"/>
        <v>69.832606324092424</v>
      </c>
      <c r="F23" s="29">
        <f t="shared" si="3"/>
        <v>123.02464296908737</v>
      </c>
      <c r="G23" s="29">
        <f t="shared" si="3"/>
        <v>121.70752317473068</v>
      </c>
      <c r="H23" s="29">
        <f t="shared" si="3"/>
        <v>128.24108986128627</v>
      </c>
    </row>
    <row r="24" spans="1:8" x14ac:dyDescent="0.3">
      <c r="A24" s="1">
        <v>2045</v>
      </c>
      <c r="B24" s="32">
        <f t="shared" si="2"/>
        <v>1.2576380565500684</v>
      </c>
      <c r="C24" s="32">
        <f t="shared" si="0"/>
        <v>1.3776145867716694</v>
      </c>
      <c r="D24" s="32">
        <f t="shared" si="0"/>
        <v>1.4649931937722336</v>
      </c>
      <c r="E24" s="29">
        <f t="shared" si="3"/>
        <v>69.803955492694442</v>
      </c>
      <c r="F24" s="29">
        <f t="shared" si="3"/>
        <v>111.25576902822024</v>
      </c>
      <c r="G24" s="29">
        <f t="shared" si="3"/>
        <v>109.46912942997312</v>
      </c>
      <c r="H24" s="29">
        <f t="shared" si="3"/>
        <v>121.31916193869151</v>
      </c>
    </row>
    <row r="25" spans="1:8" x14ac:dyDescent="0.3">
      <c r="A25" s="1">
        <v>2050</v>
      </c>
      <c r="B25" s="32">
        <f t="shared" si="2"/>
        <v>1.2574620565500683</v>
      </c>
      <c r="C25" s="32">
        <f t="shared" si="0"/>
        <v>1.3536561434687904</v>
      </c>
      <c r="D25" s="32">
        <f t="shared" si="0"/>
        <v>1.4285470993922407</v>
      </c>
      <c r="E25" s="29">
        <f t="shared" si="3"/>
        <v>69.77655034961812</v>
      </c>
      <c r="F25" s="29">
        <f t="shared" si="3"/>
        <v>100.95840459329722</v>
      </c>
      <c r="G25" s="29">
        <f t="shared" si="3"/>
        <v>98.429822230140488</v>
      </c>
      <c r="H25" s="29">
        <f t="shared" si="3"/>
        <v>115.64410267132213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41B5-4555-4ECC-9A08-B1A926FD14EC}">
  <dimension ref="A1:X27"/>
  <sheetViews>
    <sheetView workbookViewId="0">
      <selection activeCell="D5" sqref="D5"/>
    </sheetView>
  </sheetViews>
  <sheetFormatPr defaultRowHeight="14.4" x14ac:dyDescent="0.3"/>
  <sheetData>
    <row r="1" spans="1:20" x14ac:dyDescent="0.3">
      <c r="A1" s="1" t="s">
        <v>134</v>
      </c>
      <c r="L1" s="1" t="s">
        <v>132</v>
      </c>
    </row>
    <row r="3" spans="1:20" x14ac:dyDescent="0.3">
      <c r="A3" s="31"/>
      <c r="B3" s="31"/>
      <c r="C3" s="1">
        <v>2020</v>
      </c>
      <c r="D3" s="1">
        <v>2025</v>
      </c>
      <c r="E3" s="1">
        <v>2030</v>
      </c>
      <c r="F3" s="1">
        <v>2035</v>
      </c>
      <c r="G3" s="1">
        <v>2040</v>
      </c>
      <c r="H3" s="1">
        <v>2045</v>
      </c>
      <c r="I3" s="1">
        <v>2050</v>
      </c>
      <c r="L3" s="31"/>
      <c r="M3" s="31"/>
      <c r="N3" s="1">
        <v>2020</v>
      </c>
      <c r="O3" s="1">
        <v>2025</v>
      </c>
      <c r="P3" s="1">
        <v>2030</v>
      </c>
      <c r="Q3" s="1">
        <v>2035</v>
      </c>
      <c r="R3" s="1">
        <v>2040</v>
      </c>
      <c r="S3" s="1">
        <v>2045</v>
      </c>
      <c r="T3" s="1">
        <v>2050</v>
      </c>
    </row>
    <row r="4" spans="1:20" x14ac:dyDescent="0.3">
      <c r="A4" s="1" t="s">
        <v>6</v>
      </c>
      <c r="B4" s="1" t="s">
        <v>127</v>
      </c>
      <c r="C4" s="32">
        <v>1.2767928712592653</v>
      </c>
      <c r="D4" s="32">
        <v>1.2763128712592651</v>
      </c>
      <c r="E4" s="32">
        <v>1.2759928712592652</v>
      </c>
      <c r="F4" s="32">
        <v>1.2757528712592652</v>
      </c>
      <c r="G4" s="32">
        <v>1.2755528712592652</v>
      </c>
      <c r="H4" s="32">
        <v>1.2753688712592655</v>
      </c>
      <c r="I4" s="32">
        <v>1.2751928712592653</v>
      </c>
      <c r="L4" s="1" t="s">
        <v>6</v>
      </c>
      <c r="M4" s="1" t="s">
        <v>127</v>
      </c>
      <c r="N4" s="32">
        <v>1.7730814709196963E-2</v>
      </c>
      <c r="O4" s="32">
        <v>1.7730814709196963E-2</v>
      </c>
      <c r="P4" s="32">
        <v>1.7730814709196963E-2</v>
      </c>
      <c r="Q4" s="32">
        <v>1.7730814709196963E-2</v>
      </c>
      <c r="R4" s="32">
        <v>1.7730814709196963E-2</v>
      </c>
      <c r="S4" s="32">
        <v>1.7730814709196963E-2</v>
      </c>
      <c r="T4" s="32">
        <v>1.7730814709196963E-2</v>
      </c>
    </row>
    <row r="5" spans="1:20" x14ac:dyDescent="0.3">
      <c r="A5" s="1"/>
      <c r="B5" s="1" t="s">
        <v>128</v>
      </c>
      <c r="C5" s="32">
        <v>2.1213845775913618</v>
      </c>
      <c r="D5" s="32">
        <v>1.8539131909777176</v>
      </c>
      <c r="E5" s="32">
        <v>1.6422220976950082</v>
      </c>
      <c r="F5" s="32">
        <v>1.4955046571342974</v>
      </c>
      <c r="G5" s="32">
        <v>1.4378216218112176</v>
      </c>
      <c r="H5" s="32">
        <v>1.4011312462807095</v>
      </c>
      <c r="I5" s="32">
        <v>1.3759969700023786</v>
      </c>
      <c r="L5" s="1"/>
      <c r="M5" s="1" t="s">
        <v>128</v>
      </c>
      <c r="N5" s="32">
        <v>7.0669961483799351E-2</v>
      </c>
      <c r="O5" s="32">
        <v>6.42564725061298E-2</v>
      </c>
      <c r="P5" s="32">
        <v>4.8759740450291647E-2</v>
      </c>
      <c r="Q5" s="32">
        <v>3.5837105494588684E-2</v>
      </c>
      <c r="R5" s="32">
        <v>2.5030000097816377E-2</v>
      </c>
      <c r="S5" s="32">
        <v>2.3516659509040184E-2</v>
      </c>
      <c r="T5" s="32">
        <v>2.2340826533588171E-2</v>
      </c>
    </row>
    <row r="6" spans="1:20" x14ac:dyDescent="0.3">
      <c r="A6" s="1"/>
      <c r="B6" s="1" t="s">
        <v>129</v>
      </c>
      <c r="C6" s="32">
        <v>2.1937387804084145</v>
      </c>
      <c r="D6" s="32">
        <v>1.8635831400519962</v>
      </c>
      <c r="E6" s="32">
        <v>1.6846665595885915</v>
      </c>
      <c r="F6" s="32">
        <v>1.587752224593614</v>
      </c>
      <c r="G6" s="32">
        <v>1.5271776831432882</v>
      </c>
      <c r="H6" s="32">
        <v>1.4827240084814306</v>
      </c>
      <c r="I6" s="32">
        <v>1.4462779141014377</v>
      </c>
      <c r="L6" s="1"/>
      <c r="M6" s="1" t="s">
        <v>129</v>
      </c>
      <c r="N6" s="32">
        <v>1.7730814709196963E-2</v>
      </c>
      <c r="O6" s="32">
        <v>1.7730814709196963E-2</v>
      </c>
      <c r="P6" s="32">
        <v>1.7730814709196963E-2</v>
      </c>
      <c r="Q6" s="32">
        <v>1.7730814709196963E-2</v>
      </c>
      <c r="R6" s="32">
        <v>1.7730814709196963E-2</v>
      </c>
      <c r="S6" s="32">
        <v>1.7730814709196963E-2</v>
      </c>
      <c r="T6" s="32">
        <v>1.7730814709196963E-2</v>
      </c>
    </row>
    <row r="7" spans="1:20" x14ac:dyDescent="0.3">
      <c r="A7" s="1" t="s">
        <v>40</v>
      </c>
      <c r="B7" s="1" t="s">
        <v>44</v>
      </c>
      <c r="C7" s="29">
        <v>70.025688013948354</v>
      </c>
      <c r="D7" s="29">
        <v>69.950946714649291</v>
      </c>
      <c r="E7" s="29">
        <v>69.901119181783244</v>
      </c>
      <c r="F7" s="29">
        <v>69.863748532133712</v>
      </c>
      <c r="G7" s="29">
        <v>69.832606324092424</v>
      </c>
      <c r="H7" s="29">
        <v>69.803955492694442</v>
      </c>
      <c r="I7" s="29">
        <v>69.77655034961812</v>
      </c>
      <c r="L7" s="1"/>
      <c r="M7" s="32"/>
      <c r="N7" s="32"/>
      <c r="O7" s="32"/>
    </row>
    <row r="8" spans="1:20" x14ac:dyDescent="0.3">
      <c r="A8" s="1"/>
      <c r="B8" s="1" t="s">
        <v>128</v>
      </c>
      <c r="C8" s="29">
        <v>9999</v>
      </c>
      <c r="D8" s="29">
        <v>9999</v>
      </c>
      <c r="E8" s="29">
        <v>151.86171664778865</v>
      </c>
      <c r="F8" s="29">
        <v>137.06926759396413</v>
      </c>
      <c r="G8" s="29">
        <v>123.02464296908737</v>
      </c>
      <c r="H8" s="29">
        <v>111.25576902822024</v>
      </c>
      <c r="I8" s="29">
        <v>100.95840459329722</v>
      </c>
      <c r="L8" s="1"/>
      <c r="M8" s="32"/>
      <c r="N8" s="32"/>
      <c r="O8" s="32"/>
    </row>
    <row r="9" spans="1:20" x14ac:dyDescent="0.3">
      <c r="A9" s="1"/>
      <c r="B9" s="1" t="s">
        <v>131</v>
      </c>
      <c r="C9" s="29">
        <v>9999</v>
      </c>
      <c r="D9" s="29">
        <v>9999</v>
      </c>
      <c r="E9" s="29">
        <v>146.84521118705186</v>
      </c>
      <c r="F9" s="29">
        <v>134.23510106777977</v>
      </c>
      <c r="G9" s="29">
        <v>121.70752317473068</v>
      </c>
      <c r="H9" s="29">
        <v>109.46912942997312</v>
      </c>
      <c r="I9" s="29">
        <v>98.429822230140488</v>
      </c>
      <c r="L9" s="1"/>
      <c r="M9" s="32"/>
      <c r="N9" s="32"/>
      <c r="O9" s="32"/>
    </row>
    <row r="10" spans="1:20" x14ac:dyDescent="0.3">
      <c r="A10" s="1"/>
      <c r="B10" s="1" t="s">
        <v>129</v>
      </c>
      <c r="C10" s="29">
        <v>232.0320116775589</v>
      </c>
      <c r="D10" s="29">
        <v>180.62313348765065</v>
      </c>
      <c r="E10" s="29">
        <v>152.76384663352172</v>
      </c>
      <c r="F10" s="29">
        <v>137.67321472054223</v>
      </c>
      <c r="G10" s="29">
        <v>128.24108986128627</v>
      </c>
      <c r="H10" s="29">
        <v>121.31916193869151</v>
      </c>
      <c r="I10" s="29">
        <v>115.64410267132213</v>
      </c>
      <c r="L10" s="1"/>
      <c r="M10" s="32"/>
      <c r="N10" s="32"/>
      <c r="O10" s="32"/>
    </row>
    <row r="11" spans="1:20" x14ac:dyDescent="0.3">
      <c r="L11" s="1"/>
      <c r="M11" s="32"/>
      <c r="N11" s="32"/>
      <c r="O11" s="32"/>
    </row>
    <row r="13" spans="1:20" x14ac:dyDescent="0.3">
      <c r="A13" s="1" t="s">
        <v>133</v>
      </c>
    </row>
    <row r="14" spans="1:20" x14ac:dyDescent="0.3">
      <c r="B14" s="1"/>
    </row>
    <row r="16" spans="1:20" x14ac:dyDescent="0.3">
      <c r="A16" s="31"/>
      <c r="B16" s="31"/>
      <c r="C16" s="1">
        <v>2020</v>
      </c>
      <c r="D16" s="1">
        <v>2025</v>
      </c>
      <c r="E16" s="1">
        <v>2030</v>
      </c>
      <c r="F16" s="1">
        <v>2035</v>
      </c>
      <c r="G16" s="1">
        <v>2040</v>
      </c>
      <c r="H16" s="1">
        <v>2045</v>
      </c>
      <c r="I16" s="1">
        <v>2050</v>
      </c>
    </row>
    <row r="17" spans="1:24" x14ac:dyDescent="0.3">
      <c r="A17" s="1" t="s">
        <v>126</v>
      </c>
      <c r="B17" s="1" t="s">
        <v>127</v>
      </c>
      <c r="C17" s="32">
        <f>C4-N4</f>
        <v>1.2590620565500683</v>
      </c>
      <c r="D17" s="32">
        <f t="shared" ref="D17:I17" si="0">D4-O4</f>
        <v>1.2585820565500681</v>
      </c>
      <c r="E17" s="32">
        <f t="shared" si="0"/>
        <v>1.2582620565500682</v>
      </c>
      <c r="F17" s="32">
        <f t="shared" si="0"/>
        <v>1.2580220565500682</v>
      </c>
      <c r="G17" s="32">
        <f t="shared" si="0"/>
        <v>1.2578220565500682</v>
      </c>
      <c r="H17" s="32">
        <f t="shared" si="0"/>
        <v>1.2576380565500684</v>
      </c>
      <c r="I17" s="32">
        <f t="shared" si="0"/>
        <v>1.2574620565500683</v>
      </c>
    </row>
    <row r="18" spans="1:24" x14ac:dyDescent="0.3">
      <c r="A18" s="1"/>
      <c r="B18" s="1" t="s">
        <v>128</v>
      </c>
      <c r="C18" s="32">
        <f t="shared" ref="C18:C19" si="1">C5-N5</f>
        <v>2.0507146161075624</v>
      </c>
      <c r="D18" s="32">
        <f t="shared" ref="D18:D19" si="2">D5-O5</f>
        <v>1.7896567184715877</v>
      </c>
      <c r="E18" s="32">
        <f t="shared" ref="E18:E19" si="3">E5-P5</f>
        <v>1.5934623572447164</v>
      </c>
      <c r="F18" s="32">
        <f t="shared" ref="F18:F19" si="4">F5-Q5</f>
        <v>1.4596675516397086</v>
      </c>
      <c r="G18" s="32">
        <f t="shared" ref="G18:G19" si="5">G5-R5</f>
        <v>1.4127916217134013</v>
      </c>
      <c r="H18" s="32">
        <f t="shared" ref="H18:H19" si="6">H5-S5</f>
        <v>1.3776145867716694</v>
      </c>
      <c r="I18" s="32">
        <f t="shared" ref="I18:I19" si="7">I5-T5</f>
        <v>1.3536561434687904</v>
      </c>
      <c r="Q18" s="31"/>
      <c r="R18" s="1"/>
      <c r="S18" s="1"/>
      <c r="T18" s="1"/>
      <c r="U18" s="1"/>
      <c r="V18" s="1"/>
      <c r="W18" s="1"/>
      <c r="X18" s="1"/>
    </row>
    <row r="19" spans="1:24" x14ac:dyDescent="0.3">
      <c r="A19" s="1"/>
      <c r="B19" s="1" t="s">
        <v>129</v>
      </c>
      <c r="C19" s="32">
        <f t="shared" si="1"/>
        <v>2.1760079656992177</v>
      </c>
      <c r="D19" s="32">
        <f t="shared" si="2"/>
        <v>1.8458523253427992</v>
      </c>
      <c r="E19" s="32">
        <f t="shared" si="3"/>
        <v>1.6669357448793944</v>
      </c>
      <c r="F19" s="32">
        <f t="shared" si="4"/>
        <v>1.570021409884417</v>
      </c>
      <c r="G19" s="32">
        <f t="shared" si="5"/>
        <v>1.5094468684340911</v>
      </c>
      <c r="H19" s="32">
        <f t="shared" si="6"/>
        <v>1.4649931937722336</v>
      </c>
      <c r="I19" s="32">
        <f t="shared" si="7"/>
        <v>1.4285470993922407</v>
      </c>
      <c r="Q19" s="31"/>
      <c r="R19" s="1"/>
      <c r="S19" s="1"/>
      <c r="T19" s="1"/>
      <c r="U19" s="1"/>
      <c r="V19" s="1"/>
      <c r="W19" s="1"/>
      <c r="X19" s="1"/>
    </row>
    <row r="20" spans="1:24" x14ac:dyDescent="0.3">
      <c r="A20" s="1" t="s">
        <v>130</v>
      </c>
      <c r="B20" s="1" t="s">
        <v>44</v>
      </c>
      <c r="C20" s="29">
        <f>C7</f>
        <v>70.025688013948354</v>
      </c>
      <c r="D20" s="29">
        <f t="shared" ref="D20:I20" si="8">D7</f>
        <v>69.950946714649291</v>
      </c>
      <c r="E20" s="29">
        <f t="shared" si="8"/>
        <v>69.901119181783244</v>
      </c>
      <c r="F20" s="29">
        <f t="shared" si="8"/>
        <v>69.863748532133712</v>
      </c>
      <c r="G20" s="29">
        <f t="shared" si="8"/>
        <v>69.832606324092424</v>
      </c>
      <c r="H20" s="29">
        <f t="shared" si="8"/>
        <v>69.803955492694442</v>
      </c>
      <c r="I20" s="29">
        <f t="shared" si="8"/>
        <v>69.77655034961812</v>
      </c>
      <c r="Q20" s="1"/>
      <c r="R20" s="32"/>
      <c r="S20" s="32"/>
      <c r="T20" s="32"/>
      <c r="U20" s="29"/>
      <c r="V20" s="29"/>
      <c r="W20" s="29"/>
      <c r="X20" s="29"/>
    </row>
    <row r="21" spans="1:24" x14ac:dyDescent="0.3">
      <c r="A21" s="1"/>
      <c r="B21" s="1" t="s">
        <v>128</v>
      </c>
      <c r="C21" s="29">
        <f t="shared" ref="C21:I23" si="9">C8</f>
        <v>9999</v>
      </c>
      <c r="D21" s="29">
        <f t="shared" si="9"/>
        <v>9999</v>
      </c>
      <c r="E21" s="29">
        <f t="shared" si="9"/>
        <v>151.86171664778865</v>
      </c>
      <c r="F21" s="29">
        <f t="shared" si="9"/>
        <v>137.06926759396413</v>
      </c>
      <c r="G21" s="29">
        <f t="shared" si="9"/>
        <v>123.02464296908737</v>
      </c>
      <c r="H21" s="29">
        <f t="shared" si="9"/>
        <v>111.25576902822024</v>
      </c>
      <c r="I21" s="29">
        <f t="shared" si="9"/>
        <v>100.95840459329722</v>
      </c>
      <c r="Q21" s="1"/>
      <c r="R21" s="32"/>
      <c r="S21" s="32"/>
      <c r="T21" s="32"/>
      <c r="U21" s="29"/>
      <c r="V21" s="29"/>
      <c r="W21" s="29"/>
      <c r="X21" s="29"/>
    </row>
    <row r="22" spans="1:24" x14ac:dyDescent="0.3">
      <c r="A22" s="1"/>
      <c r="B22" s="1" t="s">
        <v>131</v>
      </c>
      <c r="C22" s="29">
        <f t="shared" si="9"/>
        <v>9999</v>
      </c>
      <c r="D22" s="29">
        <f t="shared" si="9"/>
        <v>9999</v>
      </c>
      <c r="E22" s="29">
        <f t="shared" si="9"/>
        <v>146.84521118705186</v>
      </c>
      <c r="F22" s="29">
        <f t="shared" si="9"/>
        <v>134.23510106777977</v>
      </c>
      <c r="G22" s="29">
        <f t="shared" si="9"/>
        <v>121.70752317473068</v>
      </c>
      <c r="H22" s="29">
        <f t="shared" si="9"/>
        <v>109.46912942997312</v>
      </c>
      <c r="I22" s="29">
        <f t="shared" si="9"/>
        <v>98.429822230140488</v>
      </c>
      <c r="Q22" s="1"/>
      <c r="R22" s="32"/>
      <c r="S22" s="32"/>
      <c r="T22" s="32"/>
      <c r="U22" s="29"/>
      <c r="V22" s="29"/>
      <c r="W22" s="29"/>
      <c r="X22" s="29"/>
    </row>
    <row r="23" spans="1:24" x14ac:dyDescent="0.3">
      <c r="A23" s="1"/>
      <c r="B23" s="1" t="s">
        <v>129</v>
      </c>
      <c r="C23" s="29">
        <f t="shared" si="9"/>
        <v>232.0320116775589</v>
      </c>
      <c r="D23" s="29">
        <f t="shared" si="9"/>
        <v>180.62313348765065</v>
      </c>
      <c r="E23" s="29">
        <f t="shared" si="9"/>
        <v>152.76384663352172</v>
      </c>
      <c r="F23" s="29">
        <f t="shared" si="9"/>
        <v>137.67321472054223</v>
      </c>
      <c r="G23" s="29">
        <f t="shared" si="9"/>
        <v>128.24108986128627</v>
      </c>
      <c r="H23" s="29">
        <f t="shared" si="9"/>
        <v>121.31916193869151</v>
      </c>
      <c r="I23" s="29">
        <f t="shared" si="9"/>
        <v>115.64410267132213</v>
      </c>
      <c r="Q23" s="1"/>
      <c r="R23" s="32"/>
      <c r="S23" s="32"/>
      <c r="T23" s="32"/>
      <c r="U23" s="29"/>
      <c r="V23" s="29"/>
      <c r="W23" s="29"/>
      <c r="X23" s="29"/>
    </row>
    <row r="24" spans="1:24" x14ac:dyDescent="0.3">
      <c r="Q24" s="1"/>
      <c r="R24" s="32"/>
      <c r="S24" s="32"/>
      <c r="T24" s="32"/>
      <c r="U24" s="29"/>
      <c r="V24" s="29"/>
      <c r="W24" s="29"/>
      <c r="X24" s="29"/>
    </row>
    <row r="25" spans="1:24" x14ac:dyDescent="0.3">
      <c r="Q25" s="1"/>
      <c r="R25" s="32"/>
      <c r="S25" s="32"/>
      <c r="T25" s="32"/>
      <c r="U25" s="29"/>
      <c r="V25" s="29"/>
      <c r="W25" s="29"/>
      <c r="X25" s="29"/>
    </row>
    <row r="26" spans="1:24" x14ac:dyDescent="0.3">
      <c r="Q26" s="1"/>
      <c r="R26" s="32"/>
      <c r="S26" s="32"/>
      <c r="T26" s="32"/>
      <c r="U26" s="29"/>
      <c r="V26" s="29"/>
      <c r="W26" s="29"/>
      <c r="X26" s="29"/>
    </row>
    <row r="27" spans="1:24" x14ac:dyDescent="0.3">
      <c r="Q27" s="1"/>
      <c r="R27" s="32"/>
      <c r="S27" s="32"/>
      <c r="T27" s="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1785-A9D2-43D6-AF64-887423AF0701}">
  <dimension ref="A1:C15"/>
  <sheetViews>
    <sheetView workbookViewId="0">
      <selection activeCell="D29" sqref="D29"/>
    </sheetView>
  </sheetViews>
  <sheetFormatPr defaultRowHeight="14.4" x14ac:dyDescent="0.3"/>
  <cols>
    <col min="2" max="2" width="23.88671875" bestFit="1" customWidth="1"/>
    <col min="3" max="3" width="15.21875" bestFit="1" customWidth="1"/>
  </cols>
  <sheetData>
    <row r="1" spans="1:3" x14ac:dyDescent="0.3">
      <c r="A1" s="1" t="s">
        <v>0</v>
      </c>
      <c r="B1" s="1" t="s">
        <v>135</v>
      </c>
      <c r="C1" s="1" t="s">
        <v>136</v>
      </c>
    </row>
    <row r="2" spans="1:3" x14ac:dyDescent="0.3">
      <c r="A2" t="s">
        <v>6</v>
      </c>
      <c r="B2" t="s">
        <v>19</v>
      </c>
      <c r="C2">
        <v>33</v>
      </c>
    </row>
    <row r="3" spans="1:3" x14ac:dyDescent="0.3">
      <c r="A3" t="s">
        <v>6</v>
      </c>
      <c r="B3" t="s">
        <v>15</v>
      </c>
      <c r="C3">
        <v>33</v>
      </c>
    </row>
    <row r="4" spans="1:3" x14ac:dyDescent="0.3">
      <c r="A4" t="s">
        <v>6</v>
      </c>
      <c r="B4" t="s">
        <v>23</v>
      </c>
      <c r="C4">
        <v>33</v>
      </c>
    </row>
    <row r="5" spans="1:3" x14ac:dyDescent="0.3">
      <c r="A5" t="s">
        <v>6</v>
      </c>
      <c r="B5" t="s">
        <v>8</v>
      </c>
      <c r="C5">
        <v>18.399999999999999</v>
      </c>
    </row>
    <row r="6" spans="1:3" x14ac:dyDescent="0.3">
      <c r="A6" t="s">
        <v>6</v>
      </c>
      <c r="B6" t="s">
        <v>21</v>
      </c>
      <c r="C6">
        <v>34</v>
      </c>
    </row>
    <row r="7" spans="1:3" x14ac:dyDescent="0.3">
      <c r="A7" t="s">
        <v>6</v>
      </c>
      <c r="B7" t="s">
        <v>17</v>
      </c>
      <c r="C7">
        <v>33</v>
      </c>
    </row>
    <row r="8" spans="1:3" x14ac:dyDescent="0.3">
      <c r="A8" t="s">
        <v>40</v>
      </c>
      <c r="B8" t="s">
        <v>29</v>
      </c>
      <c r="C8">
        <v>8500</v>
      </c>
    </row>
    <row r="9" spans="1:3" x14ac:dyDescent="0.3">
      <c r="A9" t="s">
        <v>40</v>
      </c>
      <c r="B9" t="s">
        <v>30</v>
      </c>
      <c r="C9">
        <v>2500</v>
      </c>
    </row>
    <row r="10" spans="1:3" x14ac:dyDescent="0.3">
      <c r="A10" t="s">
        <v>40</v>
      </c>
      <c r="B10" t="s">
        <v>24</v>
      </c>
      <c r="C10">
        <v>9000</v>
      </c>
    </row>
    <row r="11" spans="1:3" x14ac:dyDescent="0.3">
      <c r="A11" t="s">
        <v>40</v>
      </c>
      <c r="B11" t="s">
        <v>31</v>
      </c>
      <c r="C11">
        <v>17000</v>
      </c>
    </row>
    <row r="12" spans="1:3" x14ac:dyDescent="0.3">
      <c r="A12" t="s">
        <v>32</v>
      </c>
      <c r="B12" t="s">
        <v>37</v>
      </c>
    </row>
    <row r="13" spans="1:3" x14ac:dyDescent="0.3">
      <c r="A13" t="s">
        <v>32</v>
      </c>
      <c r="B13" t="s">
        <v>33</v>
      </c>
    </row>
    <row r="14" spans="1:3" x14ac:dyDescent="0.3">
      <c r="A14" t="s">
        <v>32</v>
      </c>
      <c r="B14" t="s">
        <v>38</v>
      </c>
    </row>
    <row r="15" spans="1:3" x14ac:dyDescent="0.3">
      <c r="A15" t="s">
        <v>32</v>
      </c>
      <c r="B15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B01C-C28B-4466-B068-FD0A64E87CCA}">
  <dimension ref="A1:J15"/>
  <sheetViews>
    <sheetView workbookViewId="0">
      <selection activeCell="C29" sqref="C29"/>
    </sheetView>
  </sheetViews>
  <sheetFormatPr defaultRowHeight="14.4" x14ac:dyDescent="0.3"/>
  <cols>
    <col min="2" max="2" width="13.5546875" bestFit="1" customWidth="1"/>
    <col min="3" max="3" width="13.6640625" bestFit="1" customWidth="1"/>
    <col min="9" max="9" width="27.77734375" bestFit="1" customWidth="1"/>
    <col min="10" max="10" width="24.44140625" customWidth="1"/>
  </cols>
  <sheetData>
    <row r="1" spans="1:10" x14ac:dyDescent="0.3">
      <c r="A1" s="1" t="s">
        <v>137</v>
      </c>
    </row>
    <row r="2" spans="1:10" x14ac:dyDescent="0.3">
      <c r="D2" s="34" t="s">
        <v>139</v>
      </c>
      <c r="E2" s="34"/>
      <c r="F2" s="34"/>
      <c r="G2" s="34"/>
      <c r="H2" s="34"/>
    </row>
    <row r="3" spans="1:10" x14ac:dyDescent="0.3">
      <c r="A3" s="1" t="s">
        <v>0</v>
      </c>
      <c r="B3" s="1" t="s">
        <v>3</v>
      </c>
      <c r="C3" s="1" t="s">
        <v>138</v>
      </c>
      <c r="D3" s="1">
        <v>2020</v>
      </c>
      <c r="E3" s="1">
        <v>2025</v>
      </c>
      <c r="F3" s="1">
        <v>2030</v>
      </c>
      <c r="G3" s="1">
        <v>2040</v>
      </c>
      <c r="H3" s="1">
        <v>2050</v>
      </c>
      <c r="I3" s="1" t="s">
        <v>141</v>
      </c>
      <c r="J3" s="1" t="s">
        <v>140</v>
      </c>
    </row>
    <row r="4" spans="1:10" x14ac:dyDescent="0.3">
      <c r="A4" t="s">
        <v>6</v>
      </c>
      <c r="B4" t="s">
        <v>9</v>
      </c>
      <c r="C4" t="s">
        <v>9</v>
      </c>
      <c r="D4">
        <v>1</v>
      </c>
      <c r="E4">
        <v>1</v>
      </c>
      <c r="F4">
        <v>1</v>
      </c>
      <c r="G4">
        <v>1</v>
      </c>
      <c r="H4">
        <v>1</v>
      </c>
    </row>
    <row r="5" spans="1:10" x14ac:dyDescent="0.3">
      <c r="B5" t="s">
        <v>10</v>
      </c>
      <c r="C5" t="s">
        <v>9</v>
      </c>
      <c r="D5">
        <v>1.3</v>
      </c>
      <c r="E5">
        <v>1.03</v>
      </c>
      <c r="F5">
        <v>0.91</v>
      </c>
      <c r="G5">
        <v>0.85</v>
      </c>
      <c r="H5">
        <v>0.83</v>
      </c>
      <c r="J5" t="s">
        <v>143</v>
      </c>
    </row>
    <row r="6" spans="1:10" x14ac:dyDescent="0.3">
      <c r="B6" t="s">
        <v>11</v>
      </c>
      <c r="C6" t="s">
        <v>11</v>
      </c>
      <c r="D6">
        <v>1</v>
      </c>
      <c r="E6">
        <v>1</v>
      </c>
      <c r="F6">
        <v>1</v>
      </c>
      <c r="G6">
        <v>1</v>
      </c>
      <c r="H6">
        <v>1</v>
      </c>
    </row>
    <row r="7" spans="1:10" x14ac:dyDescent="0.3">
      <c r="B7" t="s">
        <v>12</v>
      </c>
      <c r="C7" t="s">
        <v>9</v>
      </c>
      <c r="D7">
        <v>1.06</v>
      </c>
      <c r="E7">
        <v>1.1100000000000001</v>
      </c>
      <c r="F7">
        <v>1.1299999999999999</v>
      </c>
      <c r="G7">
        <v>1.1499999999999999</v>
      </c>
      <c r="H7">
        <v>1.17</v>
      </c>
      <c r="I7" t="s">
        <v>142</v>
      </c>
      <c r="J7" t="s">
        <v>143</v>
      </c>
    </row>
    <row r="8" spans="1:10" x14ac:dyDescent="0.3">
      <c r="B8" t="s">
        <v>13</v>
      </c>
      <c r="C8" t="s">
        <v>9</v>
      </c>
      <c r="D8">
        <v>1.1200000000000001</v>
      </c>
      <c r="E8">
        <v>1.1299999999999999</v>
      </c>
      <c r="F8">
        <v>1.1200000000000001</v>
      </c>
      <c r="G8">
        <v>1.1100000000000001</v>
      </c>
      <c r="H8">
        <v>1.1000000000000001</v>
      </c>
      <c r="I8" t="s">
        <v>142</v>
      </c>
      <c r="J8" t="s">
        <v>143</v>
      </c>
    </row>
    <row r="9" spans="1:10" x14ac:dyDescent="0.3">
      <c r="A9" t="s">
        <v>40</v>
      </c>
      <c r="B9" t="s">
        <v>44</v>
      </c>
      <c r="C9" t="s">
        <v>44</v>
      </c>
      <c r="D9">
        <v>1</v>
      </c>
      <c r="E9">
        <v>1</v>
      </c>
      <c r="F9">
        <v>1</v>
      </c>
      <c r="G9">
        <v>1</v>
      </c>
      <c r="H9">
        <v>1</v>
      </c>
    </row>
    <row r="10" spans="1:10" x14ac:dyDescent="0.3">
      <c r="B10" t="s">
        <v>25</v>
      </c>
      <c r="C10" t="s">
        <v>44</v>
      </c>
      <c r="D10">
        <v>1.1000000000000001</v>
      </c>
      <c r="E10">
        <v>1.1000000000000001</v>
      </c>
      <c r="F10">
        <v>1.1000000000000001</v>
      </c>
      <c r="G10">
        <v>1.1000000000000001</v>
      </c>
      <c r="H10">
        <v>1.1000000000000001</v>
      </c>
      <c r="J10" t="s">
        <v>143</v>
      </c>
    </row>
    <row r="11" spans="1:10" x14ac:dyDescent="0.3">
      <c r="B11" t="s">
        <v>26</v>
      </c>
      <c r="C11" t="s">
        <v>25</v>
      </c>
      <c r="D11">
        <v>1.07</v>
      </c>
      <c r="E11">
        <v>1.07</v>
      </c>
      <c r="F11">
        <v>1.07</v>
      </c>
      <c r="G11">
        <v>1.07</v>
      </c>
      <c r="H11">
        <v>1.07</v>
      </c>
      <c r="J11" t="s">
        <v>143</v>
      </c>
    </row>
    <row r="12" spans="1:10" x14ac:dyDescent="0.3">
      <c r="B12" t="s">
        <v>11</v>
      </c>
      <c r="C12" t="s">
        <v>11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10" x14ac:dyDescent="0.3">
      <c r="B13" t="s">
        <v>27</v>
      </c>
      <c r="C13" t="s">
        <v>27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10" x14ac:dyDescent="0.3">
      <c r="B14" t="s">
        <v>28</v>
      </c>
      <c r="C14" t="s">
        <v>25</v>
      </c>
      <c r="D14">
        <v>1.2</v>
      </c>
      <c r="E14">
        <v>1.22</v>
      </c>
      <c r="F14">
        <v>1.24</v>
      </c>
      <c r="G14">
        <v>1.26</v>
      </c>
      <c r="H14">
        <v>1.28</v>
      </c>
      <c r="I14" t="s">
        <v>142</v>
      </c>
      <c r="J14" t="s">
        <v>143</v>
      </c>
    </row>
    <row r="15" spans="1:10" x14ac:dyDescent="0.3">
      <c r="B15" t="s">
        <v>13</v>
      </c>
      <c r="C15" t="s">
        <v>28</v>
      </c>
      <c r="D15">
        <v>1.05</v>
      </c>
      <c r="E15">
        <v>1.05</v>
      </c>
      <c r="F15">
        <v>1.05</v>
      </c>
      <c r="G15">
        <v>1.05</v>
      </c>
      <c r="H15">
        <v>1.05</v>
      </c>
      <c r="I15" t="s">
        <v>142</v>
      </c>
      <c r="J15" t="s">
        <v>143</v>
      </c>
    </row>
  </sheetData>
  <mergeCells count="1">
    <mergeCell ref="D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84BF-E76A-402B-AF31-6F26AF2044C4}">
  <dimension ref="A1:A7"/>
  <sheetViews>
    <sheetView workbookViewId="0">
      <selection activeCell="A8" sqref="A8"/>
    </sheetView>
  </sheetViews>
  <sheetFormatPr defaultRowHeight="14.4" x14ac:dyDescent="0.3"/>
  <cols>
    <col min="1" max="1" width="111.77734375" customWidth="1"/>
  </cols>
  <sheetData>
    <row r="1" spans="1:1" x14ac:dyDescent="0.3">
      <c r="A1" t="s">
        <v>121</v>
      </c>
    </row>
    <row r="2" spans="1:1" x14ac:dyDescent="0.3">
      <c r="A2" t="s">
        <v>122</v>
      </c>
    </row>
    <row r="3" spans="1:1" x14ac:dyDescent="0.3">
      <c r="A3" t="s">
        <v>124</v>
      </c>
    </row>
    <row r="4" spans="1:1" x14ac:dyDescent="0.3">
      <c r="A4" t="s">
        <v>144</v>
      </c>
    </row>
    <row r="5" spans="1:1" x14ac:dyDescent="0.3">
      <c r="A5" t="s">
        <v>125</v>
      </c>
    </row>
    <row r="6" spans="1:1" x14ac:dyDescent="0.3">
      <c r="A6" t="s">
        <v>123</v>
      </c>
    </row>
    <row r="7" spans="1:1" x14ac:dyDescent="0.3">
      <c r="A7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Costs</vt:lpstr>
      <vt:lpstr>Costs_recalculated</vt:lpstr>
      <vt:lpstr>transfer_costs</vt:lpstr>
      <vt:lpstr>raw_data</vt:lpstr>
      <vt:lpstr>base_costs</vt:lpstr>
      <vt:lpstr>base_costs_transposed</vt:lpstr>
      <vt:lpstr>vehicle_cap</vt:lpstr>
      <vt:lpstr>cost_factors</vt:lpstr>
      <vt:lpstr>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Ruben van Beesten</cp:lastModifiedBy>
  <dcterms:created xsi:type="dcterms:W3CDTF">2022-03-17T11:52:29Z</dcterms:created>
  <dcterms:modified xsi:type="dcterms:W3CDTF">2022-10-10T10:02:30Z</dcterms:modified>
</cp:coreProperties>
</file>